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6660" windowHeight="1950" tabRatio="894" activeTab="4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definedNames/>
  <calcPr fullCalcOnLoad="1"/>
</workbook>
</file>

<file path=xl/sharedStrings.xml><?xml version="1.0" encoding="utf-8"?>
<sst xmlns="http://schemas.openxmlformats.org/spreadsheetml/2006/main" count="405" uniqueCount="120">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</sst>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_);_(* \(#,##0.000\);_(* &quot;-&quot;??_);_(@_)"/>
    <numFmt numFmtId="171" formatCode="_(* #,##0.0_);_(* \(#,##0.0\);_(* &quot;-&quot;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6C6F70"/>
      <name val="Arial"/>
      <family val="2"/>
    </font>
    <font>
      <b/>
      <sz val="10"/>
      <color rgb="FF00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5" fillId="33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56" applyFont="1" applyFill="1">
      <alignment/>
      <protection/>
    </xf>
    <xf numFmtId="0" fontId="2" fillId="0" borderId="0" xfId="56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3" fillId="0" borderId="0" xfId="52" applyFill="1" applyAlignment="1" applyProtection="1">
      <alignment/>
      <protection/>
    </xf>
    <xf numFmtId="0" fontId="3" fillId="0" borderId="0" xfId="52" applyAlignment="1" applyProtection="1" quotePrefix="1">
      <alignment/>
      <protection/>
    </xf>
    <xf numFmtId="0" fontId="3" fillId="0" borderId="0" xfId="52" applyAlignment="1" applyProtection="1">
      <alignment/>
      <protection/>
    </xf>
    <xf numFmtId="0" fontId="10" fillId="0" borderId="10" xfId="56" applyFont="1" applyFill="1" applyBorder="1">
      <alignment/>
      <protection/>
    </xf>
    <xf numFmtId="0" fontId="10" fillId="0" borderId="11" xfId="56" applyFont="1" applyFill="1" applyBorder="1" applyAlignment="1" quotePrefix="1">
      <alignment horizontal="center"/>
      <protection/>
    </xf>
    <xf numFmtId="0" fontId="10" fillId="0" borderId="10" xfId="56" applyFont="1" applyFill="1" applyBorder="1" applyAlignment="1" quotePrefix="1">
      <alignment horizontal="center"/>
      <protection/>
    </xf>
    <xf numFmtId="0" fontId="50" fillId="0" borderId="0" xfId="0" applyFont="1" applyFill="1" applyAlignment="1">
      <alignment/>
    </xf>
    <xf numFmtId="0" fontId="11" fillId="0" borderId="12" xfId="56" applyFont="1" applyFill="1" applyBorder="1">
      <alignment/>
      <protection/>
    </xf>
    <xf numFmtId="0" fontId="10" fillId="0" borderId="13" xfId="56" applyFont="1" applyFill="1" applyBorder="1" applyAlignment="1">
      <alignment horizontal="right"/>
      <protection/>
    </xf>
    <xf numFmtId="0" fontId="10" fillId="0" borderId="12" xfId="56" applyFont="1" applyFill="1" applyBorder="1" applyAlignment="1">
      <alignment horizontal="right"/>
      <protection/>
    </xf>
    <xf numFmtId="0" fontId="10" fillId="0" borderId="13" xfId="56" applyFont="1" applyFill="1" applyBorder="1" applyAlignment="1">
      <alignment horizontal="center"/>
      <protection/>
    </xf>
    <xf numFmtId="167" fontId="50" fillId="0" borderId="0" xfId="42" applyNumberFormat="1" applyFont="1" applyFill="1" applyAlignment="1">
      <alignment/>
    </xf>
    <xf numFmtId="167" fontId="51" fillId="0" borderId="0" xfId="42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67" fontId="51" fillId="0" borderId="0" xfId="0" applyNumberFormat="1" applyFont="1" applyFill="1" applyAlignment="1">
      <alignment/>
    </xf>
    <xf numFmtId="167" fontId="51" fillId="0" borderId="0" xfId="0" applyNumberFormat="1" applyFont="1" applyFill="1" applyBorder="1" applyAlignment="1">
      <alignment/>
    </xf>
    <xf numFmtId="168" fontId="50" fillId="0" borderId="0" xfId="59" applyNumberFormat="1" applyFont="1" applyFill="1" applyAlignment="1">
      <alignment/>
    </xf>
    <xf numFmtId="168" fontId="51" fillId="0" borderId="0" xfId="59" applyNumberFormat="1" applyFont="1" applyFill="1" applyBorder="1" applyAlignment="1">
      <alignment/>
    </xf>
    <xf numFmtId="167" fontId="50" fillId="0" borderId="0" xfId="42" applyNumberFormat="1" applyFont="1" applyFill="1" applyBorder="1" applyAlignment="1">
      <alignment/>
    </xf>
    <xf numFmtId="9" fontId="50" fillId="0" borderId="0" xfId="59" applyFont="1" applyFill="1" applyAlignment="1">
      <alignment/>
    </xf>
    <xf numFmtId="0" fontId="52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10" fillId="0" borderId="14" xfId="56" applyFont="1" applyFill="1" applyBorder="1">
      <alignment/>
      <protection/>
    </xf>
    <xf numFmtId="0" fontId="10" fillId="0" borderId="14" xfId="56" applyFont="1" applyFill="1" applyBorder="1" applyAlignment="1" quotePrefix="1">
      <alignment horizontal="center"/>
      <protection/>
    </xf>
    <xf numFmtId="0" fontId="54" fillId="0" borderId="14" xfId="56" applyFont="1" applyFill="1" applyBorder="1" applyAlignment="1" quotePrefix="1">
      <alignment horizontal="center"/>
      <protection/>
    </xf>
    <xf numFmtId="0" fontId="54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167" fontId="55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68" fontId="55" fillId="0" borderId="0" xfId="59" applyNumberFormat="1" applyFont="1" applyFill="1" applyAlignment="1">
      <alignment/>
    </xf>
    <xf numFmtId="168" fontId="51" fillId="0" borderId="0" xfId="59" applyNumberFormat="1" applyFont="1" applyFill="1" applyAlignment="1">
      <alignment/>
    </xf>
    <xf numFmtId="167" fontId="51" fillId="0" borderId="0" xfId="42" applyNumberFormat="1" applyFont="1" applyFill="1" applyBorder="1" applyAlignment="1">
      <alignment/>
    </xf>
    <xf numFmtId="169" fontId="50" fillId="0" borderId="0" xfId="42" applyNumberFormat="1" applyFont="1" applyFill="1" applyAlignment="1">
      <alignment/>
    </xf>
    <xf numFmtId="169" fontId="55" fillId="0" borderId="0" xfId="42" applyNumberFormat="1" applyFont="1" applyFill="1" applyAlignment="1">
      <alignment/>
    </xf>
    <xf numFmtId="169" fontId="51" fillId="0" borderId="0" xfId="42" applyNumberFormat="1" applyFont="1" applyFill="1" applyBorder="1" applyAlignment="1">
      <alignment/>
    </xf>
    <xf numFmtId="169" fontId="51" fillId="0" borderId="0" xfId="42" applyNumberFormat="1" applyFont="1" applyFill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170" fontId="50" fillId="0" borderId="0" xfId="42" applyNumberFormat="1" applyFont="1" applyFill="1" applyAlignment="1">
      <alignment/>
    </xf>
    <xf numFmtId="167" fontId="54" fillId="0" borderId="0" xfId="42" applyNumberFormat="1" applyFont="1" applyFill="1" applyAlignment="1">
      <alignment/>
    </xf>
    <xf numFmtId="43" fontId="50" fillId="0" borderId="0" xfId="42" applyNumberFormat="1" applyFont="1" applyFill="1" applyAlignment="1">
      <alignment/>
    </xf>
    <xf numFmtId="10" fontId="50" fillId="0" borderId="0" xfId="59" applyNumberFormat="1" applyFont="1" applyFill="1" applyAlignment="1">
      <alignment/>
    </xf>
    <xf numFmtId="43" fontId="50" fillId="0" borderId="0" xfId="42" applyNumberFormat="1" applyFont="1" applyFill="1" applyBorder="1" applyAlignment="1">
      <alignment/>
    </xf>
    <xf numFmtId="0" fontId="54" fillId="0" borderId="11" xfId="56" applyFont="1" applyFill="1" applyBorder="1" applyAlignment="1" quotePrefix="1">
      <alignment horizontal="center"/>
      <protection/>
    </xf>
    <xf numFmtId="0" fontId="54" fillId="0" borderId="13" xfId="56" applyFont="1" applyFill="1" applyBorder="1" applyAlignment="1">
      <alignment horizontal="center"/>
      <protection/>
    </xf>
    <xf numFmtId="167" fontId="54" fillId="0" borderId="0" xfId="0" applyNumberFormat="1" applyFont="1" applyFill="1" applyAlignment="1">
      <alignment/>
    </xf>
    <xf numFmtId="167" fontId="55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16" fontId="54" fillId="0" borderId="10" xfId="56" applyNumberFormat="1" applyFont="1" applyFill="1" applyBorder="1" applyAlignment="1" quotePrefix="1">
      <alignment horizontal="center"/>
      <protection/>
    </xf>
    <xf numFmtId="14" fontId="54" fillId="0" borderId="12" xfId="56" applyNumberFormat="1" applyFont="1" applyFill="1" applyBorder="1" applyAlignment="1" quotePrefix="1">
      <alignment horizontal="center"/>
      <protection/>
    </xf>
    <xf numFmtId="0" fontId="56" fillId="0" borderId="0" xfId="0" applyFont="1" applyFill="1" applyAlignment="1">
      <alignment/>
    </xf>
    <xf numFmtId="167" fontId="56" fillId="0" borderId="0" xfId="42" applyNumberFormat="1" applyFont="1" applyFill="1" applyAlignment="1">
      <alignment/>
    </xf>
    <xf numFmtId="167" fontId="57" fillId="0" borderId="0" xfId="42" applyNumberFormat="1" applyFont="1" applyFill="1" applyAlignment="1">
      <alignment/>
    </xf>
    <xf numFmtId="0" fontId="55" fillId="0" borderId="15" xfId="0" applyFont="1" applyFill="1" applyBorder="1" applyAlignment="1">
      <alignment/>
    </xf>
    <xf numFmtId="167" fontId="55" fillId="0" borderId="16" xfId="42" applyNumberFormat="1" applyFont="1" applyFill="1" applyBorder="1" applyAlignment="1">
      <alignment/>
    </xf>
    <xf numFmtId="167" fontId="54" fillId="0" borderId="16" xfId="42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7" fontId="58" fillId="0" borderId="0" xfId="42" applyNumberFormat="1" applyFont="1" applyFill="1" applyAlignment="1">
      <alignment/>
    </xf>
    <xf numFmtId="167" fontId="59" fillId="0" borderId="0" xfId="42" applyNumberFormat="1" applyFont="1" applyFill="1" applyAlignment="1">
      <alignment/>
    </xf>
    <xf numFmtId="10" fontId="51" fillId="0" borderId="0" xfId="59" applyNumberFormat="1" applyFont="1" applyFill="1" applyAlignment="1">
      <alignment/>
    </xf>
    <xf numFmtId="43" fontId="51" fillId="0" borderId="0" xfId="42" applyFont="1" applyFill="1" applyAlignment="1">
      <alignment/>
    </xf>
    <xf numFmtId="171" fontId="51" fillId="0" borderId="0" xfId="0" applyNumberFormat="1" applyFont="1" applyFill="1" applyAlignment="1">
      <alignment/>
    </xf>
    <xf numFmtId="43" fontId="51" fillId="0" borderId="0" xfId="0" applyNumberFormat="1" applyFont="1" applyFill="1" applyAlignment="1">
      <alignment/>
    </xf>
    <xf numFmtId="9" fontId="50" fillId="0" borderId="0" xfId="59" applyNumberFormat="1" applyFont="1" applyFill="1" applyAlignment="1">
      <alignment/>
    </xf>
    <xf numFmtId="0" fontId="58" fillId="0" borderId="0" xfId="0" applyFont="1" applyFill="1" applyAlignment="1">
      <alignment horizontal="left"/>
    </xf>
    <xf numFmtId="9" fontId="51" fillId="0" borderId="0" xfId="59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SDEntry" xfId="61"/>
    <cellStyle name="Standard_Phase II Summary of results &amp; balance sheet 02-05-02" xfId="62"/>
    <cellStyle name="Style 1" xfId="63"/>
    <cellStyle name="Title" xfId="64"/>
    <cellStyle name="Total" xfId="65"/>
    <cellStyle name="Tusental (0)_NK990531" xfId="66"/>
    <cellStyle name="Valuta (0)_NK990531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361950</xdr:colOff>
      <xdr:row>2</xdr:row>
      <xdr:rowOff>19050</xdr:rowOff>
    </xdr:to>
    <xdr:pic>
      <xdr:nvPicPr>
        <xdr:cNvPr id="1" name="Picture 1" descr="C:\Users\gornil\Pictures\1_Kcell_Full_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_relations@kcell.k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L24" sqref="L24"/>
    </sheetView>
  </sheetViews>
  <sheetFormatPr defaultColWidth="9.140625" defaultRowHeight="15"/>
  <sheetData>
    <row r="4" ht="15.75">
      <c r="A4" s="1" t="s">
        <v>0</v>
      </c>
    </row>
    <row r="6" spans="1:6" ht="15">
      <c r="A6" s="4" t="s">
        <v>1</v>
      </c>
      <c r="B6" s="2"/>
      <c r="C6" s="3"/>
      <c r="D6" s="3"/>
      <c r="E6" s="3"/>
      <c r="F6" s="4" t="s">
        <v>2</v>
      </c>
    </row>
    <row r="7" spans="1:6" ht="15">
      <c r="A7" s="8" t="s">
        <v>7</v>
      </c>
      <c r="F7">
        <v>1</v>
      </c>
    </row>
    <row r="8" spans="1:6" ht="15">
      <c r="A8" s="8" t="s">
        <v>18</v>
      </c>
      <c r="F8">
        <v>2</v>
      </c>
    </row>
    <row r="9" spans="1:6" ht="15">
      <c r="A9" s="9" t="s">
        <v>21</v>
      </c>
      <c r="F9">
        <v>3</v>
      </c>
    </row>
    <row r="10" spans="1:6" ht="15">
      <c r="A10" s="8" t="s">
        <v>86</v>
      </c>
      <c r="F10">
        <v>4</v>
      </c>
    </row>
    <row r="11" spans="1:6" ht="15">
      <c r="A11" s="8" t="s">
        <v>87</v>
      </c>
      <c r="F11">
        <v>5</v>
      </c>
    </row>
    <row r="12" spans="1:6" ht="15">
      <c r="A12" s="8" t="s">
        <v>88</v>
      </c>
      <c r="F12">
        <v>6</v>
      </c>
    </row>
    <row r="13" spans="1:6" ht="15">
      <c r="A13" s="9" t="s">
        <v>83</v>
      </c>
      <c r="F13">
        <v>7</v>
      </c>
    </row>
    <row r="16" spans="1:3" ht="15">
      <c r="A16" s="6" t="s">
        <v>3</v>
      </c>
      <c r="B16" s="5"/>
      <c r="C16" s="5"/>
    </row>
    <row r="17" spans="1:3" ht="15">
      <c r="A17" s="5"/>
      <c r="B17" s="5"/>
      <c r="C17" s="5"/>
    </row>
    <row r="18" spans="1:3" ht="15">
      <c r="A18" s="5" t="s">
        <v>4</v>
      </c>
      <c r="B18" s="5"/>
      <c r="C18" s="5"/>
    </row>
    <row r="19" spans="1:3" ht="15">
      <c r="A19" s="5" t="s">
        <v>5</v>
      </c>
      <c r="B19" s="5"/>
      <c r="C19" s="5"/>
    </row>
    <row r="20" spans="1:3" ht="15">
      <c r="A20" s="7" t="s">
        <v>6</v>
      </c>
      <c r="B20" s="5"/>
      <c r="C20" s="5"/>
    </row>
    <row r="21" spans="1:3" ht="15">
      <c r="A21" s="5" t="s">
        <v>119</v>
      </c>
      <c r="B21" s="5"/>
      <c r="C21" s="5"/>
    </row>
  </sheetData>
  <sheetProtection/>
  <hyperlinks>
    <hyperlink ref="A20" r:id="rId1" display="investor_relations@kcell.kz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8.8515625" defaultRowHeight="15"/>
  <cols>
    <col min="1" max="1" width="27.00390625" style="13" customWidth="1"/>
    <col min="2" max="4" width="10.28125" style="13" bestFit="1" customWidth="1"/>
    <col min="5" max="5" width="10.57421875" style="13" bestFit="1" customWidth="1"/>
    <col min="6" max="6" width="9.140625" style="13" customWidth="1"/>
    <col min="7" max="9" width="10.140625" style="13" bestFit="1" customWidth="1"/>
    <col min="10" max="10" width="11.00390625" style="13" customWidth="1"/>
    <col min="11" max="11" width="8.8515625" style="13" customWidth="1"/>
    <col min="12" max="13" width="10.140625" style="13" bestFit="1" customWidth="1"/>
    <col min="14" max="14" width="11.140625" style="13" bestFit="1" customWidth="1"/>
    <col min="15" max="15" width="10.140625" style="13" customWidth="1"/>
    <col min="16" max="17" width="11.140625" style="13" bestFit="1" customWidth="1"/>
    <col min="18" max="18" width="10.421875" style="13" customWidth="1"/>
    <col min="19" max="19" width="10.57421875" style="13" customWidth="1"/>
    <col min="20" max="20" width="9.8515625" style="13" customWidth="1"/>
    <col min="21" max="22" width="9.140625" style="13" customWidth="1"/>
    <col min="23" max="23" width="10.28125" style="13" bestFit="1" customWidth="1"/>
    <col min="24" max="16384" width="8.8515625" style="13" customWidth="1"/>
  </cols>
  <sheetData>
    <row r="2" spans="1:23" ht="12.75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</row>
    <row r="3" spans="1:23" ht="12.75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</row>
    <row r="4" spans="1:23" ht="12.75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11949.997</v>
      </c>
      <c r="L4" s="19">
        <v>12056.945</v>
      </c>
      <c r="M4" s="19">
        <v>12155.155</v>
      </c>
      <c r="N4" s="19">
        <v>12025.96</v>
      </c>
      <c r="O4" s="18">
        <f>S4</f>
        <v>11192</v>
      </c>
      <c r="P4" s="19">
        <v>11236.193</v>
      </c>
      <c r="Q4" s="19">
        <v>11400.015</v>
      </c>
      <c r="R4" s="19">
        <v>11661</v>
      </c>
      <c r="S4" s="19">
        <v>11192</v>
      </c>
      <c r="T4" s="20">
        <f>W4</f>
        <v>10780</v>
      </c>
      <c r="U4" s="19">
        <v>10829</v>
      </c>
      <c r="V4" s="19">
        <v>10747</v>
      </c>
      <c r="W4" s="19">
        <v>10780</v>
      </c>
    </row>
    <row r="5" spans="1:23" ht="12.75">
      <c r="A5" s="13" t="s">
        <v>110</v>
      </c>
      <c r="B5" s="18">
        <v>5923</v>
      </c>
      <c r="C5" s="18">
        <v>7574</v>
      </c>
      <c r="D5" s="18">
        <v>9353</v>
      </c>
      <c r="E5" s="18">
        <v>11720.684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10311.96</v>
      </c>
      <c r="K5" s="21">
        <v>10243.997</v>
      </c>
      <c r="L5" s="21">
        <v>10303.945</v>
      </c>
      <c r="M5" s="21">
        <v>10386.155</v>
      </c>
      <c r="N5" s="21">
        <v>10311.96</v>
      </c>
      <c r="O5" s="20">
        <f>S5</f>
        <v>9711</v>
      </c>
      <c r="P5" s="21">
        <v>9548.193</v>
      </c>
      <c r="Q5" s="21">
        <v>9754.015</v>
      </c>
      <c r="R5" s="21">
        <v>10135</v>
      </c>
      <c r="S5" s="21">
        <v>9711</v>
      </c>
      <c r="T5" s="20">
        <f>W5</f>
        <v>9481</v>
      </c>
      <c r="U5" s="21">
        <v>9478</v>
      </c>
      <c r="V5" s="21">
        <v>9421</v>
      </c>
      <c r="W5" s="21">
        <v>9481</v>
      </c>
    </row>
    <row r="6" spans="1:23" ht="12.75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AVERAGE(U6:W6)</f>
        <v>206.6041580465857</v>
      </c>
      <c r="U6" s="21">
        <v>186.81247413975711</v>
      </c>
      <c r="V6" s="21">
        <v>198</v>
      </c>
      <c r="W6" s="21">
        <v>235</v>
      </c>
    </row>
    <row r="7" spans="1:23" ht="12.75">
      <c r="A7" s="13" t="s">
        <v>16</v>
      </c>
      <c r="B7" s="18">
        <v>1493</v>
      </c>
      <c r="C7" s="18">
        <v>1580</v>
      </c>
      <c r="D7" s="18">
        <v>1472.225023851019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1363.164258358291</v>
      </c>
      <c r="R7" s="22">
        <v>1340.4219218575745</v>
      </c>
      <c r="S7" s="22">
        <v>1296.9598199216757</v>
      </c>
      <c r="T7" s="20">
        <f>AVERAGE(U7:W7)+1</f>
        <v>1211.9834814864787</v>
      </c>
      <c r="U7" s="22">
        <v>1181.9504444594356</v>
      </c>
      <c r="V7" s="22">
        <v>1227</v>
      </c>
      <c r="W7" s="22">
        <v>1224</v>
      </c>
    </row>
    <row r="8" spans="1:23" ht="12.75">
      <c r="A8" s="13" t="s">
        <v>17</v>
      </c>
      <c r="B8" s="23">
        <v>0.431</v>
      </c>
      <c r="C8" s="23">
        <v>0.322</v>
      </c>
      <c r="D8" s="23">
        <v>0.354</v>
      </c>
      <c r="E8" s="23">
        <v>0.253</v>
      </c>
      <c r="F8" s="24">
        <v>0.366</v>
      </c>
      <c r="G8" s="24">
        <v>0.324</v>
      </c>
      <c r="H8" s="24">
        <v>0.195</v>
      </c>
      <c r="I8" s="24">
        <v>0.192</v>
      </c>
      <c r="J8" s="23">
        <f>AVERAGE(K8:N8)</f>
        <v>0.43400300186881735</v>
      </c>
      <c r="K8" s="24">
        <v>0.3637519467948399</v>
      </c>
      <c r="L8" s="24">
        <v>0.42187484483927823</v>
      </c>
      <c r="M8" s="24">
        <v>0.4818389716082978</v>
      </c>
      <c r="N8" s="24">
        <v>0.46854624423285346</v>
      </c>
      <c r="O8" s="23">
        <f>AVERAGE(P8:S8)</f>
        <v>0.4945212878490816</v>
      </c>
      <c r="P8" s="24">
        <v>0.663762052977466</v>
      </c>
      <c r="Q8" s="24">
        <v>0.36318337657284977</v>
      </c>
      <c r="R8" s="24">
        <v>0.38155888122424914</v>
      </c>
      <c r="S8" s="24">
        <v>0.5695808406217615</v>
      </c>
      <c r="T8" s="71">
        <f>AVERAGE(U8:W8)</f>
        <v>0.4346464184708205</v>
      </c>
      <c r="U8" s="24">
        <v>0.4739392554124613</v>
      </c>
      <c r="V8" s="24">
        <v>0.4</v>
      </c>
      <c r="W8" s="73">
        <v>0.43</v>
      </c>
    </row>
    <row r="9" spans="1:23" ht="12.75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W9</f>
        <v>1898</v>
      </c>
      <c r="U9" s="22">
        <v>1740</v>
      </c>
      <c r="V9" s="22">
        <v>1792</v>
      </c>
      <c r="W9" s="22">
        <v>1898</v>
      </c>
    </row>
    <row r="10" spans="5:19" ht="12.75">
      <c r="E10" s="26"/>
      <c r="R10" s="21"/>
      <c r="S10" s="21"/>
    </row>
    <row r="11" spans="2:19" ht="12.75">
      <c r="B11" s="20"/>
      <c r="C11" s="20"/>
      <c r="D11" s="20"/>
      <c r="E11" s="20"/>
      <c r="L11" s="22"/>
      <c r="Q11" s="22"/>
      <c r="R11" s="21"/>
      <c r="S11" s="22"/>
    </row>
    <row r="12" spans="18:19" ht="12.75">
      <c r="R12" s="22"/>
      <c r="S12" s="24"/>
    </row>
    <row r="13" spans="1:19" ht="12.75">
      <c r="A13" s="27" t="s">
        <v>111</v>
      </c>
      <c r="R13" s="24"/>
      <c r="S13" s="22"/>
    </row>
    <row r="14" spans="18:19" ht="12.75">
      <c r="R14" s="22"/>
      <c r="S14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3" sqref="S23"/>
    </sheetView>
  </sheetViews>
  <sheetFormatPr defaultColWidth="8.8515625" defaultRowHeight="15"/>
  <cols>
    <col min="1" max="1" width="44.7109375" style="13" bestFit="1" customWidth="1"/>
    <col min="2" max="4" width="10.7109375" style="13" bestFit="1" customWidth="1"/>
    <col min="5" max="5" width="12.00390625" style="13" bestFit="1" customWidth="1"/>
    <col min="6" max="9" width="10.140625" style="13" bestFit="1" customWidth="1"/>
    <col min="10" max="10" width="10.140625" style="13" customWidth="1"/>
    <col min="11" max="14" width="10.140625" style="13" bestFit="1" customWidth="1"/>
    <col min="15" max="15" width="9.8515625" style="13" customWidth="1"/>
    <col min="16" max="17" width="10.140625" style="13" bestFit="1" customWidth="1"/>
    <col min="18" max="19" width="8.8515625" style="13" customWidth="1"/>
    <col min="20" max="20" width="9.8515625" style="13" customWidth="1"/>
    <col min="21" max="16384" width="8.8515625" style="13" customWidth="1"/>
  </cols>
  <sheetData>
    <row r="2" spans="1:24" ht="12.7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2.75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</row>
    <row r="4" spans="1:24" ht="12.75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</row>
    <row r="5" spans="1:24" ht="12.75">
      <c r="A5" s="13" t="s">
        <v>100</v>
      </c>
      <c r="B5" s="35">
        <v>130352</v>
      </c>
      <c r="C5" s="35">
        <v>152488</v>
      </c>
      <c r="D5" s="35">
        <v>178786.235</v>
      </c>
      <c r="E5" s="35">
        <v>182003.5</v>
      </c>
      <c r="F5" s="19">
        <f>Revenues!F8</f>
        <v>41397.79945291999</v>
      </c>
      <c r="G5" s="19">
        <f>Revenues!G8</f>
        <v>44383.18789224001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46271.2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128821</v>
      </c>
      <c r="U5" s="19">
        <v>43085</v>
      </c>
      <c r="V5" s="19">
        <v>42980</v>
      </c>
      <c r="W5" s="19">
        <v>42756</v>
      </c>
      <c r="X5" s="19"/>
    </row>
    <row r="6" spans="1:24" ht="12.75">
      <c r="A6" s="72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119447</v>
      </c>
      <c r="U6" s="19">
        <v>39756</v>
      </c>
      <c r="V6" s="19">
        <v>40079</v>
      </c>
      <c r="W6" s="19">
        <v>39612</v>
      </c>
      <c r="X6" s="19"/>
    </row>
    <row r="7" spans="1:24" ht="12.75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64725</v>
      </c>
      <c r="U7" s="19">
        <v>23817</v>
      </c>
      <c r="V7" s="19">
        <f>22184-304</f>
        <v>21880</v>
      </c>
      <c r="W7" s="19">
        <v>19028</v>
      </c>
      <c r="X7" s="19"/>
    </row>
    <row r="8" spans="1:24" s="23" customFormat="1" ht="12.75">
      <c r="A8" s="23" t="s">
        <v>22</v>
      </c>
      <c r="B8" s="37">
        <v>0.542</v>
      </c>
      <c r="C8" s="37">
        <v>0.577</v>
      </c>
      <c r="D8" s="37">
        <v>0.5917353201156677</v>
      </c>
      <c r="E8" s="37">
        <v>0.557</v>
      </c>
      <c r="F8" s="38">
        <v>0.567</v>
      </c>
      <c r="G8" s="38">
        <v>0.5647</v>
      </c>
      <c r="H8" s="38">
        <v>0.563</v>
      </c>
      <c r="I8" s="38">
        <v>0.536</v>
      </c>
      <c r="J8" s="37">
        <f>J7/J5</f>
        <v>0.558246454946018</v>
      </c>
      <c r="K8" s="38">
        <v>0.551</v>
      </c>
      <c r="L8" s="38">
        <v>0.551</v>
      </c>
      <c r="M8" s="38">
        <v>0.552</v>
      </c>
      <c r="N8" s="38">
        <v>0.577</v>
      </c>
      <c r="O8" s="37">
        <f>O7/O5</f>
        <v>0.5614740748915</v>
      </c>
      <c r="P8" s="38">
        <v>0.582</v>
      </c>
      <c r="Q8" s="38">
        <v>0.573</v>
      </c>
      <c r="R8" s="38">
        <v>0.562</v>
      </c>
      <c r="S8" s="38">
        <v>0.529</v>
      </c>
      <c r="T8" s="37">
        <f>T7/T5</f>
        <v>0.5024413721365305</v>
      </c>
      <c r="U8" s="38">
        <v>0.553</v>
      </c>
      <c r="V8" s="38">
        <f>V7/V5</f>
        <v>0.5090739879013495</v>
      </c>
      <c r="W8" s="38">
        <f>W7/W5</f>
        <v>0.44503695387781833</v>
      </c>
      <c r="X8" s="38"/>
    </row>
    <row r="9" spans="1:24" ht="12.75">
      <c r="A9" s="13" t="s">
        <v>23</v>
      </c>
      <c r="B9" s="35">
        <v>53778</v>
      </c>
      <c r="C9" s="35">
        <v>68354</v>
      </c>
      <c r="D9" s="35">
        <v>82898.22599999998</v>
      </c>
      <c r="E9" s="35">
        <v>77901.9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45976</v>
      </c>
      <c r="U9" s="19">
        <v>17374</v>
      </c>
      <c r="V9" s="19">
        <f>16057-304</f>
        <v>15753</v>
      </c>
      <c r="W9" s="19">
        <v>12849</v>
      </c>
      <c r="X9" s="19"/>
    </row>
    <row r="10" spans="1:24" ht="12.75">
      <c r="A10" s="13" t="s">
        <v>109</v>
      </c>
      <c r="B10" s="35">
        <v>53778</v>
      </c>
      <c r="C10" s="35">
        <v>68354</v>
      </c>
      <c r="D10" s="35">
        <v>82898.22599999998</v>
      </c>
      <c r="E10" s="35">
        <v>78644.9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46303</v>
      </c>
      <c r="U10" s="19">
        <v>17701</v>
      </c>
      <c r="V10" s="19">
        <f>V9-V16</f>
        <v>15753</v>
      </c>
      <c r="W10" s="19">
        <v>12849</v>
      </c>
      <c r="X10" s="19"/>
    </row>
    <row r="11" spans="1:24" ht="12.75">
      <c r="A11" s="13" t="s">
        <v>24</v>
      </c>
      <c r="B11" s="35">
        <v>43197</v>
      </c>
      <c r="C11" s="35">
        <v>54768</v>
      </c>
      <c r="D11" s="35">
        <v>66858.10399999998</v>
      </c>
      <c r="E11" s="35">
        <v>61828</v>
      </c>
      <c r="F11" s="39">
        <v>13325</v>
      </c>
      <c r="G11" s="19">
        <v>16099.728197480006</v>
      </c>
      <c r="H11" s="19">
        <v>16646.99999999999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39665</v>
      </c>
      <c r="U11" s="19">
        <v>13234</v>
      </c>
      <c r="V11" s="19">
        <v>11319</v>
      </c>
      <c r="W11" s="19">
        <v>15112</v>
      </c>
      <c r="X11" s="19"/>
    </row>
    <row r="12" spans="1:24" s="40" customFormat="1" ht="12.75">
      <c r="A12" s="40" t="s">
        <v>25</v>
      </c>
      <c r="B12" s="41">
        <v>215.985</v>
      </c>
      <c r="C12" s="41">
        <v>273.84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316.96</v>
      </c>
      <c r="K12" s="42">
        <v>68.28</v>
      </c>
      <c r="L12" s="42">
        <v>77.76</v>
      </c>
      <c r="M12" s="42">
        <v>79.61</v>
      </c>
      <c r="N12" s="43">
        <v>91.32</v>
      </c>
      <c r="O12" s="41">
        <f>O11*1000/200000</f>
        <v>291.355</v>
      </c>
      <c r="P12" s="43">
        <v>78.18</v>
      </c>
      <c r="Q12" s="43">
        <v>82.56</v>
      </c>
      <c r="R12" s="43">
        <v>67.3</v>
      </c>
      <c r="S12" s="43">
        <v>63.3</v>
      </c>
      <c r="T12" s="41">
        <f>T11*1000/200000</f>
        <v>198.325</v>
      </c>
      <c r="U12" s="43">
        <v>66.2</v>
      </c>
      <c r="V12" s="43">
        <f>V11/200</f>
        <v>56.595</v>
      </c>
      <c r="W12" s="43">
        <v>75.5</v>
      </c>
      <c r="X12" s="43"/>
    </row>
    <row r="13" spans="1:24" s="23" customFormat="1" ht="12.75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0.067</v>
      </c>
      <c r="G13" s="38">
        <v>0.272</v>
      </c>
      <c r="H13" s="38">
        <v>0.103</v>
      </c>
      <c r="I13" s="38">
        <v>0.143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0.053800983970798286</v>
      </c>
      <c r="Q13" s="38">
        <f>Investments!Q11</f>
        <v>0.0393049602648441</v>
      </c>
      <c r="R13" s="38">
        <f>Investments!R11</f>
        <v>0.09510753497378237</v>
      </c>
      <c r="S13" s="38">
        <f>Investments!S11</f>
        <v>0.2608836591137476</v>
      </c>
      <c r="T13" s="37">
        <f>Investments!T11</f>
        <v>0.08431855054688288</v>
      </c>
      <c r="U13" s="38">
        <f>Investments!U11</f>
        <v>0.048508761750029016</v>
      </c>
      <c r="V13" s="38">
        <v>0.089</v>
      </c>
      <c r="W13" s="38">
        <v>0.115</v>
      </c>
      <c r="X13" s="38"/>
    </row>
    <row r="14" spans="1:24" ht="12.75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26579</v>
      </c>
      <c r="U14" s="19">
        <v>3189</v>
      </c>
      <c r="V14" s="19">
        <v>11221</v>
      </c>
      <c r="W14" s="19">
        <v>12169</v>
      </c>
      <c r="X14" s="19"/>
    </row>
    <row r="15" spans="5:24" ht="12.75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</row>
    <row r="16" spans="1:24" ht="12.75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327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0</v>
      </c>
    </row>
    <row r="17" spans="2:19" ht="12.75">
      <c r="B17" s="23"/>
      <c r="C17" s="23"/>
      <c r="D17" s="23"/>
      <c r="M17" s="18"/>
      <c r="R17" s="38"/>
      <c r="S17" s="19"/>
    </row>
    <row r="18" spans="5:13" ht="12.75">
      <c r="E18" s="48"/>
      <c r="F18" s="48"/>
      <c r="G18" s="48"/>
      <c r="H18" s="18"/>
      <c r="M18" s="49"/>
    </row>
    <row r="19" spans="5:13" ht="12.75">
      <c r="E19" s="23"/>
      <c r="F19" s="23"/>
      <c r="G19" s="23"/>
      <c r="H19" s="23"/>
      <c r="I19" s="23"/>
      <c r="J19" s="23"/>
      <c r="K19" s="23"/>
      <c r="M19" s="18"/>
    </row>
    <row r="20" ht="12.75">
      <c r="M20" s="18"/>
    </row>
    <row r="21" ht="12.75">
      <c r="M21" s="25"/>
    </row>
    <row r="22" ht="12.75">
      <c r="M22" s="50"/>
    </row>
    <row r="23" ht="12.75">
      <c r="M23" s="23"/>
    </row>
    <row r="24" ht="12.75">
      <c r="M24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5" sqref="T5"/>
    </sheetView>
  </sheetViews>
  <sheetFormatPr defaultColWidth="8.8515625" defaultRowHeight="15"/>
  <cols>
    <col min="1" max="1" width="32.00390625" style="13" bestFit="1" customWidth="1"/>
    <col min="2" max="3" width="10.7109375" style="13" bestFit="1" customWidth="1"/>
    <col min="4" max="5" width="11.57421875" style="13" bestFit="1" customWidth="1"/>
    <col min="6" max="6" width="9.7109375" style="13" customWidth="1"/>
    <col min="7" max="8" width="10.140625" style="13" bestFit="1" customWidth="1"/>
    <col min="9" max="9" width="10.421875" style="13" bestFit="1" customWidth="1"/>
    <col min="10" max="10" width="10.421875" style="13" customWidth="1"/>
    <col min="11" max="13" width="10.140625" style="13" bestFit="1" customWidth="1"/>
    <col min="14" max="14" width="10.28125" style="13" bestFit="1" customWidth="1"/>
    <col min="15" max="15" width="11.7109375" style="13" customWidth="1"/>
    <col min="16" max="16" width="9.8515625" style="13" customWidth="1"/>
    <col min="17" max="17" width="9.421875" style="13" customWidth="1"/>
    <col min="18" max="16384" width="8.8515625" style="13" customWidth="1"/>
  </cols>
  <sheetData>
    <row r="2" spans="1:24" ht="12.75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 ht="12.75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 ht="12.75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</v>
      </c>
      <c r="P4" s="19">
        <v>31366</v>
      </c>
      <c r="Q4" s="19">
        <v>34239.98708545</v>
      </c>
      <c r="R4" s="19">
        <v>34282.4</v>
      </c>
      <c r="S4" s="19">
        <v>32808.2</v>
      </c>
      <c r="T4" s="18">
        <f>SUM(U4:X4)-1</f>
        <v>80173</v>
      </c>
      <c r="U4" s="19">
        <v>26631</v>
      </c>
      <c r="V4" s="19">
        <v>27013</v>
      </c>
      <c r="W4" s="19">
        <v>26530</v>
      </c>
      <c r="X4" s="19"/>
    </row>
    <row r="5" spans="1:24" ht="12.75">
      <c r="A5" s="13" t="s">
        <v>30</v>
      </c>
      <c r="B5" s="18">
        <v>13506</v>
      </c>
      <c r="C5" s="18">
        <v>13790</v>
      </c>
      <c r="D5" s="18">
        <v>14063.721</v>
      </c>
      <c r="E5" s="18">
        <f>SUM(F5:I5)</f>
        <v>18754.8</v>
      </c>
      <c r="F5" s="19">
        <v>4112.4</v>
      </c>
      <c r="G5" s="19">
        <v>4247.4</v>
      </c>
      <c r="H5" s="19">
        <v>4743</v>
      </c>
      <c r="I5" s="19">
        <v>5652</v>
      </c>
      <c r="J5" s="18">
        <f>SUM(K5:N5)</f>
        <v>26232.4</v>
      </c>
      <c r="K5" s="19">
        <v>5672.4</v>
      </c>
      <c r="L5" s="19">
        <v>5932</v>
      </c>
      <c r="M5" s="19">
        <v>6796</v>
      </c>
      <c r="N5" s="19">
        <v>7832</v>
      </c>
      <c r="O5" s="18">
        <f>SUM(P5:S5)</f>
        <v>33130.86315445</v>
      </c>
      <c r="P5" s="19">
        <v>8326</v>
      </c>
      <c r="Q5" s="19">
        <v>8367.86315445</v>
      </c>
      <c r="R5" s="19">
        <v>8812</v>
      </c>
      <c r="S5" s="19">
        <v>7625</v>
      </c>
      <c r="T5" s="18">
        <f>SUM(U5:X5)</f>
        <v>29504</v>
      </c>
      <c r="U5" s="19">
        <v>9580</v>
      </c>
      <c r="V5" s="19">
        <v>9873</v>
      </c>
      <c r="W5" s="19">
        <v>10051</v>
      </c>
      <c r="X5" s="19"/>
    </row>
    <row r="6" spans="1:24" ht="12.75">
      <c r="A6" s="13" t="s">
        <v>31</v>
      </c>
      <c r="B6" s="18">
        <v>3033</v>
      </c>
      <c r="C6" s="18">
        <v>6946</v>
      </c>
      <c r="D6" s="18">
        <v>14531.776</v>
      </c>
      <c r="E6" s="18">
        <f>SUM(F6:I6)</f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>SUM(K6:N6)</f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>SUM(P6:S6)</f>
        <v>16566.90933373</v>
      </c>
      <c r="P6" s="19">
        <v>4274</v>
      </c>
      <c r="Q6" s="19">
        <v>4236.90933373</v>
      </c>
      <c r="R6" s="19">
        <v>3955</v>
      </c>
      <c r="S6" s="19">
        <v>4101</v>
      </c>
      <c r="T6" s="18">
        <f>SUM(U6:X6)</f>
        <v>9762</v>
      </c>
      <c r="U6" s="19">
        <v>3541</v>
      </c>
      <c r="V6" s="19">
        <v>3198</v>
      </c>
      <c r="W6" s="19">
        <v>3023</v>
      </c>
      <c r="X6" s="19"/>
    </row>
    <row r="7" spans="1:24" ht="12.75">
      <c r="A7" s="13" t="s">
        <v>32</v>
      </c>
      <c r="B7" s="18">
        <v>874</v>
      </c>
      <c r="C7" s="18">
        <v>567</v>
      </c>
      <c r="D7" s="18">
        <v>4114.138</v>
      </c>
      <c r="E7" s="18">
        <f>SUM(F7:I7)</f>
        <v>1384.63338576</v>
      </c>
      <c r="F7" s="19">
        <v>508</v>
      </c>
      <c r="G7" s="19">
        <v>390.63338576</v>
      </c>
      <c r="H7" s="19">
        <v>248</v>
      </c>
      <c r="I7" s="19">
        <v>238</v>
      </c>
      <c r="J7" s="18">
        <f>SUM(K7:N7)</f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>SUM(P7:S7)</f>
        <v>5186.19018249</v>
      </c>
      <c r="P7" s="19">
        <v>141</v>
      </c>
      <c r="Q7" s="39">
        <v>1189.89018249</v>
      </c>
      <c r="R7" s="39">
        <v>2116</v>
      </c>
      <c r="S7" s="39">
        <v>1739.3</v>
      </c>
      <c r="T7" s="18">
        <f>SUM(U7:X7)</f>
        <v>9381</v>
      </c>
      <c r="U7" s="19">
        <v>3333</v>
      </c>
      <c r="V7" s="39">
        <v>2896</v>
      </c>
      <c r="W7" s="39">
        <v>3152</v>
      </c>
      <c r="X7" s="39"/>
    </row>
    <row r="8" spans="1:24" s="44" customFormat="1" ht="12.75">
      <c r="A8" s="44" t="s">
        <v>33</v>
      </c>
      <c r="B8" s="35">
        <f aca="true" t="shared" si="0" ref="B8:S8">SUM(B4:B7)</f>
        <v>130352</v>
      </c>
      <c r="C8" s="35">
        <f t="shared" si="0"/>
        <v>152488</v>
      </c>
      <c r="D8" s="35">
        <f t="shared" si="0"/>
        <v>178786.23500000002</v>
      </c>
      <c r="E8" s="35">
        <f t="shared" si="0"/>
        <v>182003.98734515999</v>
      </c>
      <c r="F8" s="47">
        <f t="shared" si="0"/>
        <v>41397.79945291999</v>
      </c>
      <c r="G8" s="47">
        <f t="shared" si="0"/>
        <v>44383.18789224001</v>
      </c>
      <c r="H8" s="47">
        <f t="shared" si="0"/>
        <v>47323</v>
      </c>
      <c r="I8" s="47">
        <f t="shared" si="0"/>
        <v>48900</v>
      </c>
      <c r="J8" s="35">
        <f t="shared" si="0"/>
        <v>187599.4</v>
      </c>
      <c r="K8" s="47">
        <f t="shared" si="0"/>
        <v>43053.200000000004</v>
      </c>
      <c r="L8" s="47">
        <f t="shared" si="0"/>
        <v>46271.2</v>
      </c>
      <c r="M8" s="53">
        <f t="shared" si="0"/>
        <v>48749</v>
      </c>
      <c r="N8" s="53">
        <f t="shared" si="0"/>
        <v>49526</v>
      </c>
      <c r="O8" s="35">
        <f t="shared" si="0"/>
        <v>187580.54975612002</v>
      </c>
      <c r="P8" s="47">
        <f t="shared" si="0"/>
        <v>44107</v>
      </c>
      <c r="Q8" s="47">
        <f t="shared" si="0"/>
        <v>48034.64975612</v>
      </c>
      <c r="R8" s="53">
        <f>SUM(R4:R7)</f>
        <v>49165.4</v>
      </c>
      <c r="S8" s="53">
        <f t="shared" si="0"/>
        <v>46273.5</v>
      </c>
      <c r="T8" s="35">
        <f>SUM(T4:T7)</f>
        <v>128820</v>
      </c>
      <c r="U8" s="47">
        <f>SUM(U4:U7)</f>
        <v>43085</v>
      </c>
      <c r="V8" s="47">
        <f>SUM(V4:V7)</f>
        <v>42980</v>
      </c>
      <c r="W8" s="53">
        <v>42756</v>
      </c>
      <c r="X8" s="53">
        <f>SUM(X4:X7)</f>
        <v>0</v>
      </c>
    </row>
    <row r="10" spans="2:5" ht="12.75">
      <c r="B10" s="23"/>
      <c r="C10" s="23"/>
      <c r="D10" s="23"/>
      <c r="E10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0"/>
  <sheetViews>
    <sheetView tabSelected="1" zoomScalePageLayoutView="0" workbookViewId="0" topLeftCell="A1">
      <pane xSplit="1" ySplit="3" topLeftCell="L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9" sqref="W29"/>
    </sheetView>
  </sheetViews>
  <sheetFormatPr defaultColWidth="8.8515625" defaultRowHeight="15"/>
  <cols>
    <col min="1" max="1" width="50.7109375" style="13" customWidth="1"/>
    <col min="2" max="3" width="10.8515625" style="13" bestFit="1" customWidth="1"/>
    <col min="4" max="5" width="11.7109375" style="13" bestFit="1" customWidth="1"/>
    <col min="6" max="7" width="10.8515625" style="45" bestFit="1" customWidth="1"/>
    <col min="8" max="9" width="9.8515625" style="45" bestFit="1" customWidth="1"/>
    <col min="10" max="10" width="9.7109375" style="13" customWidth="1"/>
    <col min="11" max="11" width="10.8515625" style="45" bestFit="1" customWidth="1"/>
    <col min="12" max="12" width="10.7109375" style="45" customWidth="1"/>
    <col min="13" max="14" width="10.8515625" style="45" bestFit="1" customWidth="1"/>
    <col min="15" max="15" width="11.28125" style="44" bestFit="1" customWidth="1"/>
    <col min="16" max="19" width="10.8515625" style="45" bestFit="1" customWidth="1"/>
    <col min="20" max="21" width="9.421875" style="13" bestFit="1" customWidth="1"/>
    <col min="22" max="24" width="9.00390625" style="13" bestFit="1" customWidth="1"/>
    <col min="25" max="16384" width="8.8515625" style="13" customWidth="1"/>
  </cols>
  <sheetData>
    <row r="2" spans="1:24" ht="12.75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102</v>
      </c>
      <c r="W2" s="51" t="s">
        <v>102</v>
      </c>
      <c r="X2" s="51" t="s">
        <v>102</v>
      </c>
    </row>
    <row r="3" spans="1:24" ht="12.75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</row>
    <row r="4" spans="1:24" ht="12.75">
      <c r="A4" s="13" t="s">
        <v>21</v>
      </c>
      <c r="B4" s="18">
        <v>130352</v>
      </c>
      <c r="C4" s="18">
        <v>152488</v>
      </c>
      <c r="D4" s="18">
        <v>178786.235</v>
      </c>
      <c r="E4" s="18">
        <v>182003.5035746</v>
      </c>
      <c r="F4" s="19">
        <v>41397.36945342</v>
      </c>
      <c r="G4" s="19">
        <v>44382.63054658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128820</v>
      </c>
      <c r="U4" s="19">
        <v>43085</v>
      </c>
      <c r="V4" s="19">
        <v>42979.5</v>
      </c>
      <c r="W4" s="19">
        <v>42755.5</v>
      </c>
      <c r="X4" s="19"/>
    </row>
    <row r="5" spans="1:24" ht="12.75">
      <c r="A5" s="13" t="s">
        <v>36</v>
      </c>
      <c r="B5" s="18">
        <v>-53716</v>
      </c>
      <c r="C5" s="18">
        <v>-58356</v>
      </c>
      <c r="D5" s="18">
        <v>-69955.346</v>
      </c>
      <c r="E5" s="18">
        <v>-76291.47487167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aca="true" t="shared" si="0" ref="J5:J15">SUM(K5:N5)</f>
        <v>-79469.50420945</v>
      </c>
      <c r="K5" s="19">
        <v>-18626.50420945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-66989.84</v>
      </c>
      <c r="U5" s="19">
        <v>-21122</v>
      </c>
      <c r="V5" s="19">
        <v>-21449.44</v>
      </c>
      <c r="W5" s="19">
        <v>-24418.4</v>
      </c>
      <c r="X5" s="19"/>
    </row>
    <row r="6" spans="1:24" s="44" customFormat="1" ht="12.75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aca="true" t="shared" si="1" ref="F6:K6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aca="true" t="shared" si="2" ref="L6:R6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>SUM(S4:S5)</f>
        <v>23662</v>
      </c>
      <c r="T6" s="35">
        <f>SUM(T4:T5)</f>
        <v>61830.16</v>
      </c>
      <c r="U6" s="47">
        <f>SUM(U4:U5)</f>
        <v>21963</v>
      </c>
      <c r="V6" s="47">
        <f>SUM(V4:V5)</f>
        <v>21530.06</v>
      </c>
      <c r="W6" s="47">
        <f>SUM(W4:W5)</f>
        <v>18337.1</v>
      </c>
      <c r="X6" s="47">
        <f>SUM(X4:X5)</f>
        <v>0</v>
      </c>
    </row>
    <row r="7" spans="1:24" ht="12.75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</v>
      </c>
      <c r="F7" s="19">
        <v>-3365.83829869</v>
      </c>
      <c r="G7" s="19">
        <v>-3855.16170131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-7170.4</v>
      </c>
      <c r="U7" s="19">
        <v>-2143.4</v>
      </c>
      <c r="V7" s="19">
        <v>-2680</v>
      </c>
      <c r="W7" s="19">
        <v>-2347</v>
      </c>
      <c r="X7" s="19"/>
    </row>
    <row r="8" spans="1:24" ht="12.75">
      <c r="A8" s="13" t="s">
        <v>39</v>
      </c>
      <c r="B8" s="18">
        <v>-8445</v>
      </c>
      <c r="C8" s="18">
        <v>-9741</v>
      </c>
      <c r="D8" s="18">
        <v>-9943.026</v>
      </c>
      <c r="E8" s="18">
        <v>-11004.8992076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>SUM(U8:X8)</f>
        <v>-8945.4</v>
      </c>
      <c r="U8" s="39">
        <v>-2951.4</v>
      </c>
      <c r="V8" s="39">
        <v>-2966</v>
      </c>
      <c r="W8" s="39">
        <v>-3028</v>
      </c>
      <c r="X8" s="39"/>
    </row>
    <row r="9" spans="1:24" ht="12.75">
      <c r="A9" s="13" t="s">
        <v>40</v>
      </c>
      <c r="B9" s="18">
        <v>-77</v>
      </c>
      <c r="C9" s="18">
        <v>130</v>
      </c>
      <c r="D9" s="18">
        <v>-226.717</v>
      </c>
      <c r="E9" s="18">
        <v>389.42815152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65.6</v>
      </c>
      <c r="L9" s="19">
        <v>132</v>
      </c>
      <c r="M9" s="39">
        <v>84</v>
      </c>
      <c r="N9" s="19">
        <v>-181</v>
      </c>
      <c r="O9" s="18">
        <f>SUM(P9:S9)</f>
        <v>-5896</v>
      </c>
      <c r="P9" s="39">
        <v>-439</v>
      </c>
      <c r="Q9" s="39">
        <v>-106</v>
      </c>
      <c r="R9" s="39">
        <v>-3529</v>
      </c>
      <c r="S9" s="39">
        <v>-1822</v>
      </c>
      <c r="T9" s="18">
        <f>SUM(U9:X9)</f>
        <v>263</v>
      </c>
      <c r="U9" s="39">
        <v>506</v>
      </c>
      <c r="V9" s="39">
        <f>174-304</f>
        <v>-130</v>
      </c>
      <c r="W9" s="39">
        <v>-113</v>
      </c>
      <c r="X9" s="39"/>
    </row>
    <row r="10" spans="1:24" s="44" customFormat="1" ht="12.75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</v>
      </c>
      <c r="E10" s="35">
        <v>77901.90596931001</v>
      </c>
      <c r="F10" s="47">
        <f aca="true" t="shared" si="3" ref="F10:K10">SUM(F6:F9)</f>
        <v>16555.098925939994</v>
      </c>
      <c r="G10" s="47">
        <f t="shared" si="3"/>
        <v>20161.901074060006</v>
      </c>
      <c r="H10" s="47">
        <f t="shared" si="3"/>
        <v>20880.999999999996</v>
      </c>
      <c r="I10" s="47">
        <f t="shared" si="3"/>
        <v>20303.6</v>
      </c>
      <c r="J10" s="35">
        <f t="shared" si="3"/>
        <v>81599.79579055001</v>
      </c>
      <c r="K10" s="47">
        <f t="shared" si="3"/>
        <v>17955.79579055</v>
      </c>
      <c r="L10" s="47">
        <f aca="true" t="shared" si="4" ref="L10:R10">SUM(L6:L9)</f>
        <v>19748</v>
      </c>
      <c r="M10" s="47">
        <f t="shared" si="4"/>
        <v>21045</v>
      </c>
      <c r="N10" s="47">
        <f t="shared" si="4"/>
        <v>22851</v>
      </c>
      <c r="O10" s="35">
        <f t="shared" si="4"/>
        <v>75250</v>
      </c>
      <c r="P10" s="47">
        <f t="shared" si="4"/>
        <v>19855</v>
      </c>
      <c r="Q10" s="47">
        <f t="shared" si="4"/>
        <v>21033</v>
      </c>
      <c r="R10" s="47">
        <f t="shared" si="4"/>
        <v>17912</v>
      </c>
      <c r="S10" s="47">
        <f>SUM(S6:S9)</f>
        <v>16450</v>
      </c>
      <c r="T10" s="35">
        <f>SUM(T6:T9)</f>
        <v>45977.36</v>
      </c>
      <c r="U10" s="47">
        <f>SUM(U6:U9)</f>
        <v>17374.199999999997</v>
      </c>
      <c r="V10" s="47">
        <f>SUM(V6:V9)</f>
        <v>15754.060000000001</v>
      </c>
      <c r="W10" s="47">
        <f>SUM(W6:W9)</f>
        <v>12849.099999999999</v>
      </c>
      <c r="X10" s="47">
        <f>SUM(X6:X9)</f>
        <v>0</v>
      </c>
    </row>
    <row r="11" spans="1:24" ht="12.75">
      <c r="A11" s="13" t="s">
        <v>41</v>
      </c>
      <c r="B11" s="18">
        <v>51</v>
      </c>
      <c r="C11" s="18">
        <v>428</v>
      </c>
      <c r="D11" s="18">
        <v>725.286</v>
      </c>
      <c r="E11" s="18">
        <v>-516.03794417</v>
      </c>
      <c r="F11" s="19">
        <v>39.48249514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-1105</v>
      </c>
      <c r="P11" s="39">
        <v>-280</v>
      </c>
      <c r="Q11" s="39">
        <v>-219</v>
      </c>
      <c r="R11" s="39">
        <v>-245</v>
      </c>
      <c r="S11" s="39">
        <v>-361</v>
      </c>
      <c r="T11" s="18">
        <f>SUM(U11:X11)</f>
        <v>4950.6</v>
      </c>
      <c r="U11" s="39">
        <v>-586</v>
      </c>
      <c r="V11" s="39">
        <f>-1405.4+304</f>
        <v>-1101.4</v>
      </c>
      <c r="W11" s="39">
        <v>6638</v>
      </c>
      <c r="X11" s="39"/>
    </row>
    <row r="12" spans="1:24" s="44" customFormat="1" ht="12.75">
      <c r="A12" s="44" t="s">
        <v>42</v>
      </c>
      <c r="B12" s="35">
        <f>B10+B11</f>
        <v>53829</v>
      </c>
      <c r="C12" s="35">
        <f>C10+C11</f>
        <v>68782</v>
      </c>
      <c r="D12" s="35">
        <v>83623.51199999997</v>
      </c>
      <c r="E12" s="35">
        <v>77385.86802514001</v>
      </c>
      <c r="F12" s="47">
        <f aca="true" t="shared" si="5" ref="F12:K12">SUM(F10:F11)</f>
        <v>16594.581421079994</v>
      </c>
      <c r="G12" s="47">
        <f t="shared" si="5"/>
        <v>20201.901074060006</v>
      </c>
      <c r="H12" s="47">
        <f t="shared" si="5"/>
        <v>20885.999999999996</v>
      </c>
      <c r="I12" s="47">
        <f t="shared" si="5"/>
        <v>19702.6</v>
      </c>
      <c r="J12" s="35">
        <f t="shared" si="5"/>
        <v>79480.79579055001</v>
      </c>
      <c r="K12" s="47">
        <f t="shared" si="5"/>
        <v>17343.79579055</v>
      </c>
      <c r="L12" s="47">
        <f aca="true" t="shared" si="6" ref="L12:R12">SUM(L10:L11)</f>
        <v>19211</v>
      </c>
      <c r="M12" s="47">
        <f t="shared" si="6"/>
        <v>20509</v>
      </c>
      <c r="N12" s="47">
        <f t="shared" si="6"/>
        <v>22417</v>
      </c>
      <c r="O12" s="35">
        <f t="shared" si="6"/>
        <v>74145</v>
      </c>
      <c r="P12" s="47">
        <f t="shared" si="6"/>
        <v>19575</v>
      </c>
      <c r="Q12" s="47">
        <f t="shared" si="6"/>
        <v>20814</v>
      </c>
      <c r="R12" s="47">
        <f t="shared" si="6"/>
        <v>17667</v>
      </c>
      <c r="S12" s="47">
        <f>SUM(S10:S11)</f>
        <v>16089</v>
      </c>
      <c r="T12" s="35">
        <f>SUM(T10:T11)</f>
        <v>50927.96</v>
      </c>
      <c r="U12" s="47">
        <f>SUM(U10:U11)</f>
        <v>16788.199999999997</v>
      </c>
      <c r="V12" s="47">
        <f>SUM(V10:V11)</f>
        <v>14652.660000000002</v>
      </c>
      <c r="W12" s="47">
        <f>SUM(W10:W11)</f>
        <v>19487.1</v>
      </c>
      <c r="X12" s="47">
        <f>SUM(X10:X11)</f>
        <v>0</v>
      </c>
    </row>
    <row r="13" spans="1:24" ht="12.75">
      <c r="A13" s="13" t="s">
        <v>43</v>
      </c>
      <c r="B13" s="18">
        <v>-10631</v>
      </c>
      <c r="C13" s="18">
        <v>-14014</v>
      </c>
      <c r="D13" s="18">
        <v>-16765.408</v>
      </c>
      <c r="E13" s="18">
        <v>-15557.86482492</v>
      </c>
      <c r="F13" s="19">
        <v>-3269.3096185599998</v>
      </c>
      <c r="G13" s="19">
        <v>-4101.69038144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-11262</v>
      </c>
      <c r="U13" s="39">
        <v>-3554</v>
      </c>
      <c r="V13" s="39">
        <v>-3333</v>
      </c>
      <c r="W13" s="39">
        <v>-4375</v>
      </c>
      <c r="X13" s="39"/>
    </row>
    <row r="14" spans="1:24" s="44" customFormat="1" ht="12.75">
      <c r="A14" s="44" t="s">
        <v>44</v>
      </c>
      <c r="B14" s="35">
        <v>43197</v>
      </c>
      <c r="C14" s="35">
        <f>C12+C13</f>
        <v>54768</v>
      </c>
      <c r="D14" s="35">
        <v>66858.10399999998</v>
      </c>
      <c r="E14" s="35">
        <f aca="true" t="shared" si="7" ref="E14:M14">SUM(E12:E13)</f>
        <v>61828.00320022001</v>
      </c>
      <c r="F14" s="47">
        <f t="shared" si="7"/>
        <v>13325.271802519994</v>
      </c>
      <c r="G14" s="47">
        <f t="shared" si="7"/>
        <v>16100.210692620007</v>
      </c>
      <c r="H14" s="47">
        <f>SUM(H12:H13)</f>
        <v>16646.999999999996</v>
      </c>
      <c r="I14" s="47">
        <f t="shared" si="7"/>
        <v>15755.599999999999</v>
      </c>
      <c r="J14" s="35">
        <f t="shared" si="7"/>
        <v>63391.79579055001</v>
      </c>
      <c r="K14" s="47">
        <f t="shared" si="7"/>
        <v>13655.79579055</v>
      </c>
      <c r="L14" s="47">
        <f t="shared" si="7"/>
        <v>15551</v>
      </c>
      <c r="M14" s="47">
        <f t="shared" si="7"/>
        <v>15921</v>
      </c>
      <c r="N14" s="47">
        <f>SUM(N12:N13)</f>
        <v>18264</v>
      </c>
      <c r="O14" s="35">
        <f>SUM(O12:O13)</f>
        <v>58270.5</v>
      </c>
      <c r="P14" s="47">
        <f>SUM(P12:P13)</f>
        <v>15635</v>
      </c>
      <c r="Q14" s="47">
        <f>SUM(Q12:Q13)</f>
        <v>16512</v>
      </c>
      <c r="R14" s="47">
        <f>SUM(R12:R13)</f>
        <v>13457</v>
      </c>
      <c r="S14" s="47">
        <f>SUM(S12:S13)</f>
        <v>12666.5</v>
      </c>
      <c r="T14" s="35">
        <f>SUM(T12:T13)</f>
        <v>39665.96</v>
      </c>
      <c r="U14" s="47">
        <f>SUM(U12:U13)</f>
        <v>13234.199999999997</v>
      </c>
      <c r="V14" s="47">
        <f>SUM(V12:V13)</f>
        <v>11319.660000000002</v>
      </c>
      <c r="W14" s="47">
        <f>SUM(W12:W13)</f>
        <v>15112.099999999999</v>
      </c>
      <c r="X14" s="47">
        <f>SUM(X12:X13)</f>
        <v>0</v>
      </c>
    </row>
    <row r="15" spans="1:24" ht="12.75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</row>
    <row r="16" spans="1:24" s="44" customFormat="1" ht="12.75">
      <c r="A16" s="44" t="s">
        <v>46</v>
      </c>
      <c r="B16" s="54">
        <f>B14+B15</f>
        <v>43197</v>
      </c>
      <c r="C16" s="54">
        <f>C14+C15</f>
        <v>54768</v>
      </c>
      <c r="D16" s="54">
        <f>D14+D15</f>
        <v>66858.10399999998</v>
      </c>
      <c r="E16" s="54">
        <f>E14+E15</f>
        <v>61828.00320022001</v>
      </c>
      <c r="F16" s="53">
        <f aca="true" t="shared" si="8" ref="F16:L16">F14+F15</f>
        <v>13325.271802519994</v>
      </c>
      <c r="G16" s="53">
        <f t="shared" si="8"/>
        <v>16100.210692620007</v>
      </c>
      <c r="H16" s="53">
        <f t="shared" si="8"/>
        <v>16646.999999999996</v>
      </c>
      <c r="I16" s="53">
        <f t="shared" si="8"/>
        <v>15755.599999999999</v>
      </c>
      <c r="J16" s="54">
        <f t="shared" si="8"/>
        <v>63391.79579055001</v>
      </c>
      <c r="K16" s="53">
        <f t="shared" si="8"/>
        <v>13655.79579055</v>
      </c>
      <c r="L16" s="53">
        <f t="shared" si="8"/>
        <v>15551</v>
      </c>
      <c r="M16" s="53">
        <f aca="true" t="shared" si="9" ref="M16:R16">M14+M15</f>
        <v>15921</v>
      </c>
      <c r="N16" s="53">
        <f t="shared" si="9"/>
        <v>18264</v>
      </c>
      <c r="O16" s="54">
        <f t="shared" si="9"/>
        <v>58270.5</v>
      </c>
      <c r="P16" s="53">
        <f t="shared" si="9"/>
        <v>15635</v>
      </c>
      <c r="Q16" s="53">
        <f t="shared" si="9"/>
        <v>16512</v>
      </c>
      <c r="R16" s="53">
        <f t="shared" si="9"/>
        <v>13457</v>
      </c>
      <c r="S16" s="53">
        <f>S14+S15</f>
        <v>12666.5</v>
      </c>
      <c r="T16" s="54">
        <f>T14+T15</f>
        <v>39665.96</v>
      </c>
      <c r="U16" s="53">
        <f>U14+U15</f>
        <v>13234.199999999997</v>
      </c>
      <c r="V16" s="53">
        <f>V14+V15</f>
        <v>11319.660000000002</v>
      </c>
      <c r="W16" s="53">
        <f>W14+W15</f>
        <v>15112.099999999999</v>
      </c>
      <c r="X16" s="53">
        <f>X14+X15</f>
        <v>0</v>
      </c>
    </row>
    <row r="17" spans="20:24" ht="12.75">
      <c r="T17" s="44"/>
      <c r="U17" s="45"/>
      <c r="V17" s="45"/>
      <c r="W17" s="45"/>
      <c r="X17" s="45"/>
    </row>
    <row r="18" spans="20:24" ht="12.75">
      <c r="T18" s="44"/>
      <c r="U18" s="45"/>
      <c r="V18" s="45"/>
      <c r="W18" s="45"/>
      <c r="X18" s="45"/>
    </row>
    <row r="19" spans="1:24" ht="12.75">
      <c r="A19" s="13" t="s">
        <v>96</v>
      </c>
      <c r="B19" s="18">
        <v>-16810</v>
      </c>
      <c r="C19" s="18">
        <v>-19579.427</v>
      </c>
      <c r="D19" s="18">
        <v>-22895.904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-18421</v>
      </c>
      <c r="U19" s="19">
        <v>-6116</v>
      </c>
      <c r="V19" s="19">
        <v>-6126</v>
      </c>
      <c r="W19" s="19">
        <v>-6179</v>
      </c>
      <c r="X19" s="19"/>
    </row>
    <row r="20" spans="20:24" ht="12.75">
      <c r="T20" s="44"/>
      <c r="U20" s="45"/>
      <c r="V20" s="45"/>
      <c r="W20" s="45"/>
      <c r="X20" s="45"/>
    </row>
    <row r="21" spans="1:24" ht="12.75">
      <c r="A21" s="13" t="s">
        <v>97</v>
      </c>
      <c r="B21" s="20">
        <f>B10-B19</f>
        <v>70588</v>
      </c>
      <c r="C21" s="20">
        <f>C10-C19</f>
        <v>87933.427</v>
      </c>
      <c r="D21" s="20">
        <f>D10-D19</f>
        <v>105794.12999999998</v>
      </c>
      <c r="E21" s="20">
        <f>E10-E19</f>
        <v>100682.90596931001</v>
      </c>
      <c r="F21" s="21">
        <f>F10-F19</f>
        <v>22418.098925939994</v>
      </c>
      <c r="G21" s="21">
        <f>G10-G19</f>
        <v>25653.901074060006</v>
      </c>
      <c r="H21" s="21">
        <f>H10-H19</f>
        <v>26430.999999999996</v>
      </c>
      <c r="I21" s="21">
        <v>26180</v>
      </c>
      <c r="J21" s="18">
        <f>SUM(K21:N21)</f>
        <v>104727.24579055</v>
      </c>
      <c r="K21" s="21">
        <f aca="true" t="shared" si="10" ref="K21:S21">K10-K19</f>
        <v>23729.24579055</v>
      </c>
      <c r="L21" s="21">
        <f t="shared" si="10"/>
        <v>25508</v>
      </c>
      <c r="M21" s="21">
        <f t="shared" si="10"/>
        <v>26892</v>
      </c>
      <c r="N21" s="21">
        <f t="shared" si="10"/>
        <v>28598</v>
      </c>
      <c r="O21" s="54">
        <f t="shared" si="10"/>
        <v>100438.5</v>
      </c>
      <c r="P21" s="21">
        <f t="shared" si="10"/>
        <v>25671.8</v>
      </c>
      <c r="Q21" s="21">
        <f t="shared" si="10"/>
        <v>27331</v>
      </c>
      <c r="R21" s="21">
        <f t="shared" si="10"/>
        <v>23985</v>
      </c>
      <c r="S21" s="21">
        <f t="shared" si="10"/>
        <v>23450.7</v>
      </c>
      <c r="T21" s="54">
        <f>T10-T19</f>
        <v>64398.36</v>
      </c>
      <c r="U21" s="21">
        <f>U10-U19</f>
        <v>23490.199999999997</v>
      </c>
      <c r="V21" s="21">
        <f>V10-V19</f>
        <v>21880.06</v>
      </c>
      <c r="W21" s="21">
        <f>W10-W19</f>
        <v>19028.1</v>
      </c>
      <c r="X21" s="21">
        <f>X10-X19</f>
        <v>0</v>
      </c>
    </row>
    <row r="22" spans="2:24" ht="12.75">
      <c r="B22" s="23">
        <f>B21/B4</f>
        <v>0.5415183503129987</v>
      </c>
      <c r="C22" s="23">
        <f>C21/C4</f>
        <v>0.5766580124337652</v>
      </c>
      <c r="D22" s="23">
        <f>D21/D4</f>
        <v>0.5917353201156677</v>
      </c>
      <c r="E22" s="23">
        <f>E21/E4</f>
        <v>0.5531921308758866</v>
      </c>
      <c r="F22" s="38">
        <f aca="true" t="shared" si="11" ref="F22:K22">F21/F4</f>
        <v>0.5415343830280005</v>
      </c>
      <c r="G22" s="38">
        <f t="shared" si="11"/>
        <v>0.5780166871167312</v>
      </c>
      <c r="H22" s="38">
        <f t="shared" si="11"/>
        <v>0.5585233396023075</v>
      </c>
      <c r="I22" s="38">
        <f t="shared" si="11"/>
        <v>0.5353783231083845</v>
      </c>
      <c r="J22" s="23">
        <f t="shared" si="11"/>
        <v>0.5582493642866129</v>
      </c>
      <c r="K22" s="38">
        <f t="shared" si="11"/>
        <v>0.5511584634558478</v>
      </c>
      <c r="L22" s="38">
        <f>L21/L4</f>
        <v>0.5512740161224093</v>
      </c>
      <c r="M22" s="38">
        <f>M21/M4</f>
        <v>0.5516420849658454</v>
      </c>
      <c r="N22" s="38">
        <f aca="true" t="shared" si="12" ref="N22:S22">N21/N4</f>
        <v>0.5774340750312967</v>
      </c>
      <c r="O22" s="37">
        <f t="shared" si="12"/>
        <v>0.5354435440878559</v>
      </c>
      <c r="P22" s="38">
        <f t="shared" si="12"/>
        <v>0.5820345976829074</v>
      </c>
      <c r="Q22" s="38">
        <f t="shared" si="12"/>
        <v>0.5689809513896117</v>
      </c>
      <c r="R22" s="38">
        <f>R21/R4</f>
        <v>0.4878470456625648</v>
      </c>
      <c r="S22" s="38">
        <f t="shared" si="12"/>
        <v>0.5067901367968362</v>
      </c>
      <c r="T22" s="37">
        <f>T21/T4</f>
        <v>0.4999096413600373</v>
      </c>
      <c r="U22" s="38">
        <f>U21/U4</f>
        <v>0.5452059881629336</v>
      </c>
      <c r="V22" s="38">
        <f>V21/V4</f>
        <v>0.5090813062041206</v>
      </c>
      <c r="W22" s="38">
        <f>W21/W4</f>
        <v>0.4450444971991907</v>
      </c>
      <c r="X22" s="38" t="e">
        <f>X21/X4</f>
        <v>#DIV/0!</v>
      </c>
    </row>
    <row r="23" spans="20:24" ht="12.75">
      <c r="T23" s="44"/>
      <c r="U23" s="45"/>
      <c r="V23" s="45"/>
      <c r="W23" s="45"/>
      <c r="X23" s="45"/>
    </row>
    <row r="24" spans="1:24" ht="12.75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327</v>
      </c>
      <c r="U24" s="45">
        <v>327</v>
      </c>
      <c r="V24" s="45">
        <v>0</v>
      </c>
      <c r="W24" s="21">
        <v>0</v>
      </c>
      <c r="X24" s="21"/>
    </row>
    <row r="26" spans="1:24" ht="12.75">
      <c r="A26" s="13" t="s">
        <v>99</v>
      </c>
      <c r="B26" s="20">
        <f>B21+B24</f>
        <v>70588</v>
      </c>
      <c r="C26" s="20">
        <f>C21+C24</f>
        <v>87933.427</v>
      </c>
      <c r="D26" s="20">
        <f>D21+D24</f>
        <v>105794.12999999998</v>
      </c>
      <c r="E26" s="20">
        <f>E21+E24</f>
        <v>101425.90596931001</v>
      </c>
      <c r="F26" s="21">
        <f>F21+F24</f>
        <v>23453.473925939994</v>
      </c>
      <c r="G26" s="21">
        <f>G21+G24</f>
        <v>25064.026074060006</v>
      </c>
      <c r="H26" s="21">
        <f>H21+H24</f>
        <v>26653.749999999996</v>
      </c>
      <c r="I26" s="21">
        <f aca="true" t="shared" si="13" ref="I26:X26">I21+I24</f>
        <v>26254.25</v>
      </c>
      <c r="J26" s="20">
        <f t="shared" si="13"/>
        <v>104727.24579055</v>
      </c>
      <c r="K26" s="21">
        <f t="shared" si="13"/>
        <v>23729.24579055</v>
      </c>
      <c r="L26" s="21">
        <f t="shared" si="13"/>
        <v>25508</v>
      </c>
      <c r="M26" s="21">
        <f t="shared" si="13"/>
        <v>26892</v>
      </c>
      <c r="N26" s="21">
        <f t="shared" si="13"/>
        <v>28598</v>
      </c>
      <c r="O26" s="54">
        <f t="shared" si="13"/>
        <v>105319.5</v>
      </c>
      <c r="P26" s="21">
        <f t="shared" si="13"/>
        <v>25671.8</v>
      </c>
      <c r="Q26" s="21">
        <f t="shared" si="13"/>
        <v>27536</v>
      </c>
      <c r="R26" s="21">
        <f t="shared" si="13"/>
        <v>27624</v>
      </c>
      <c r="S26" s="21">
        <f t="shared" si="13"/>
        <v>24487.7</v>
      </c>
      <c r="T26" s="21">
        <f t="shared" si="13"/>
        <v>64725.36</v>
      </c>
      <c r="U26" s="21">
        <f t="shared" si="13"/>
        <v>23817.199999999997</v>
      </c>
      <c r="V26" s="21">
        <f t="shared" si="13"/>
        <v>21880.06</v>
      </c>
      <c r="W26" s="21">
        <f t="shared" si="13"/>
        <v>19028.1</v>
      </c>
      <c r="X26" s="21">
        <f t="shared" si="13"/>
        <v>0</v>
      </c>
    </row>
    <row r="27" spans="2:24" ht="12.75">
      <c r="B27" s="23">
        <f>B26/B4</f>
        <v>0.5415183503129987</v>
      </c>
      <c r="C27" s="23">
        <f>C26/C4</f>
        <v>0.5766580124337652</v>
      </c>
      <c r="D27" s="23">
        <f>D26/D4</f>
        <v>0.5917353201156677</v>
      </c>
      <c r="E27" s="23">
        <f>E26/E4</f>
        <v>0.5572744698716051</v>
      </c>
      <c r="F27" s="38">
        <f aca="true" t="shared" si="14" ref="F27:K27">F26/F4</f>
        <v>0.5665450301698436</v>
      </c>
      <c r="G27" s="38">
        <f t="shared" si="14"/>
        <v>0.5647260147808288</v>
      </c>
      <c r="H27" s="38">
        <f t="shared" si="14"/>
        <v>0.5632303531052553</v>
      </c>
      <c r="I27" s="38">
        <f t="shared" si="14"/>
        <v>0.5368967280163599</v>
      </c>
      <c r="J27" s="23">
        <f>J26/J4</f>
        <v>0.5582493642866129</v>
      </c>
      <c r="K27" s="38">
        <f t="shared" si="14"/>
        <v>0.5511584634558478</v>
      </c>
      <c r="L27" s="38">
        <f>L26/L4</f>
        <v>0.5512740161224093</v>
      </c>
      <c r="M27" s="38">
        <f>M26/M4</f>
        <v>0.5516420849658454</v>
      </c>
      <c r="N27" s="38">
        <f aca="true" t="shared" si="15" ref="N27:X27">N26/N4</f>
        <v>0.5774340750312967</v>
      </c>
      <c r="O27" s="37">
        <f t="shared" si="15"/>
        <v>0.561464441838149</v>
      </c>
      <c r="P27" s="38">
        <f t="shared" si="15"/>
        <v>0.5820345976829074</v>
      </c>
      <c r="Q27" s="38">
        <f t="shared" si="15"/>
        <v>0.5732486728427189</v>
      </c>
      <c r="R27" s="38">
        <f t="shared" si="15"/>
        <v>0.5618631140038646</v>
      </c>
      <c r="S27" s="38">
        <f t="shared" si="15"/>
        <v>0.5292006137488384</v>
      </c>
      <c r="T27" s="38">
        <f t="shared" si="15"/>
        <v>0.5024480670703307</v>
      </c>
      <c r="U27" s="38">
        <f t="shared" si="15"/>
        <v>0.5527956365324358</v>
      </c>
      <c r="V27" s="38">
        <f t="shared" si="15"/>
        <v>0.5090813062041206</v>
      </c>
      <c r="W27" s="38">
        <f t="shared" si="15"/>
        <v>0.4450444971991907</v>
      </c>
      <c r="X27" s="38" t="e">
        <f t="shared" si="15"/>
        <v>#DIV/0!</v>
      </c>
    </row>
    <row r="30" ht="12.75">
      <c r="A30" s="27" t="s">
        <v>118</v>
      </c>
    </row>
  </sheetData>
  <sheetProtection password="C70C" sheet="1" formatCells="0" formatColumns="0" formatRows="0" insertColumns="0" insertRows="0" insertHyperlinks="0" deleteColumns="0" deleteRows="0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9" sqref="L29"/>
    </sheetView>
  </sheetViews>
  <sheetFormatPr defaultColWidth="8.8515625" defaultRowHeight="15"/>
  <cols>
    <col min="1" max="1" width="34.28125" style="13" customWidth="1"/>
    <col min="2" max="3" width="10.7109375" style="13" bestFit="1" customWidth="1"/>
    <col min="4" max="5" width="11.57421875" style="13" bestFit="1" customWidth="1"/>
    <col min="6" max="6" width="12.57421875" style="45" customWidth="1"/>
    <col min="7" max="8" width="12.7109375" style="45" bestFit="1" customWidth="1"/>
    <col min="9" max="9" width="11.57421875" style="13" customWidth="1"/>
    <col min="10" max="12" width="12.7109375" style="45" bestFit="1" customWidth="1"/>
    <col min="13" max="13" width="11.57421875" style="13" customWidth="1"/>
    <col min="14" max="16" width="12.7109375" style="45" bestFit="1" customWidth="1"/>
    <col min="17" max="17" width="11.57421875" style="13" customWidth="1"/>
    <col min="18" max="16384" width="8.8515625" style="13" customWidth="1"/>
  </cols>
  <sheetData>
    <row r="2" spans="1:17" ht="12.75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</row>
    <row r="3" spans="1:17" ht="12.75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</row>
    <row r="4" spans="1:17" s="44" customFormat="1" ht="12.75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</row>
    <row r="5" spans="1:17" ht="12.75">
      <c r="A5" s="13" t="s">
        <v>50</v>
      </c>
      <c r="B5" s="18">
        <v>13468</v>
      </c>
      <c r="C5" s="18">
        <v>18309</v>
      </c>
      <c r="D5" s="18">
        <v>18433.691</v>
      </c>
      <c r="E5" s="18">
        <v>16139.754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/>
    </row>
    <row r="6" spans="1:17" ht="12.75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/>
    </row>
    <row r="7" spans="1:17" ht="12.75">
      <c r="A7" s="13" t="s">
        <v>52</v>
      </c>
      <c r="B7" s="18">
        <v>14150</v>
      </c>
      <c r="C7" s="18">
        <v>14497</v>
      </c>
      <c r="D7" s="18">
        <v>6759.364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/>
    </row>
    <row r="8" spans="1:17" s="44" customFormat="1" ht="12.75">
      <c r="A8" s="44" t="s">
        <v>53</v>
      </c>
      <c r="B8" s="35">
        <f>SUM(B5:B7)</f>
        <v>114341</v>
      </c>
      <c r="C8" s="35">
        <f>SUM(C5:C7)</f>
        <v>121806</v>
      </c>
      <c r="D8" s="35">
        <f>SUM(D5:D7)</f>
        <v>125564.70300000001</v>
      </c>
      <c r="E8" s="35">
        <f>SUM(E5:E7)</f>
        <v>129598.18299999999</v>
      </c>
      <c r="F8" s="47">
        <f>SUM(F5:F7)</f>
        <v>129026</v>
      </c>
      <c r="G8" s="47">
        <f>SUM(G5:G7)</f>
        <v>128322</v>
      </c>
      <c r="H8" s="47">
        <f>SUM(H5:H7)</f>
        <v>127929</v>
      </c>
      <c r="I8" s="35">
        <f>SUM(I5:I7)</f>
        <v>129455</v>
      </c>
      <c r="J8" s="47">
        <f>SUM(J5:J7)</f>
        <v>126035</v>
      </c>
      <c r="K8" s="47">
        <f>SUM(K5:K7)</f>
        <v>121470</v>
      </c>
      <c r="L8" s="47">
        <f>SUM(L5:L7)</f>
        <v>116598</v>
      </c>
      <c r="M8" s="47">
        <f>SUM(M5:M7)</f>
        <v>121594</v>
      </c>
      <c r="N8" s="47">
        <f>SUM(N5:N7)</f>
        <v>117591</v>
      </c>
      <c r="O8" s="47">
        <f>SUM(O5:O7)</f>
        <v>115641</v>
      </c>
      <c r="P8" s="47">
        <f>SUM(P5:P7)</f>
        <v>114630</v>
      </c>
      <c r="Q8" s="47">
        <f>SUM(Q5:Q7)</f>
        <v>0</v>
      </c>
    </row>
    <row r="9" spans="1:17" ht="12.75">
      <c r="A9" s="13" t="s">
        <v>54</v>
      </c>
      <c r="B9" s="18">
        <v>792</v>
      </c>
      <c r="C9" s="18">
        <v>1049</v>
      </c>
      <c r="D9" s="18">
        <v>1836.256</v>
      </c>
      <c r="E9" s="18">
        <v>978</v>
      </c>
      <c r="F9" s="19">
        <v>849</v>
      </c>
      <c r="G9" s="19">
        <v>968</v>
      </c>
      <c r="H9" s="19">
        <v>674</v>
      </c>
      <c r="I9" s="18">
        <v>499</v>
      </c>
      <c r="J9" s="19">
        <v>354</v>
      </c>
      <c r="K9" s="19">
        <v>2036</v>
      </c>
      <c r="L9" s="19">
        <v>1762</v>
      </c>
      <c r="M9" s="18">
        <v>2336</v>
      </c>
      <c r="N9" s="19">
        <v>3822</v>
      </c>
      <c r="O9" s="19">
        <v>3300</v>
      </c>
      <c r="P9" s="19">
        <v>1637</v>
      </c>
      <c r="Q9" s="18"/>
    </row>
    <row r="10" spans="1:17" ht="12.75">
      <c r="A10" s="13" t="s">
        <v>55</v>
      </c>
      <c r="B10" s="18">
        <v>12847</v>
      </c>
      <c r="C10" s="18">
        <v>10296</v>
      </c>
      <c r="D10" s="18">
        <v>16229.205</v>
      </c>
      <c r="E10" s="18">
        <v>15990</v>
      </c>
      <c r="F10" s="19">
        <v>21592</v>
      </c>
      <c r="G10" s="19">
        <v>11045</v>
      </c>
      <c r="H10" s="19">
        <v>11697</v>
      </c>
      <c r="I10" s="18">
        <f>306+834+9268+2</f>
        <v>10410</v>
      </c>
      <c r="J10" s="19">
        <v>12698</v>
      </c>
      <c r="K10" s="19">
        <v>12661</v>
      </c>
      <c r="L10" s="19">
        <v>14180</v>
      </c>
      <c r="M10" s="18">
        <v>14543</v>
      </c>
      <c r="N10" s="19">
        <v>18276</v>
      </c>
      <c r="O10" s="19">
        <v>18033</v>
      </c>
      <c r="P10" s="19">
        <v>18029</v>
      </c>
      <c r="Q10" s="18"/>
    </row>
    <row r="11" spans="1:17" ht="12.75">
      <c r="A11" s="13" t="s">
        <v>56</v>
      </c>
      <c r="B11" s="18">
        <v>1534</v>
      </c>
      <c r="C11" s="18">
        <v>5245</v>
      </c>
      <c r="D11" s="18">
        <v>1352.996</v>
      </c>
      <c r="E11" s="18">
        <v>3075</v>
      </c>
      <c r="F11" s="19">
        <v>2151</v>
      </c>
      <c r="G11" s="19">
        <v>2080</v>
      </c>
      <c r="H11" s="19">
        <v>5193</v>
      </c>
      <c r="I11" s="18">
        <f>18916</f>
        <v>18916</v>
      </c>
      <c r="J11" s="19">
        <v>35954</v>
      </c>
      <c r="K11" s="19">
        <v>4805</v>
      </c>
      <c r="L11" s="19">
        <v>18892</v>
      </c>
      <c r="M11" s="18">
        <v>19520</v>
      </c>
      <c r="N11" s="19">
        <v>22972</v>
      </c>
      <c r="O11" s="19">
        <v>15452</v>
      </c>
      <c r="P11" s="19">
        <v>38958</v>
      </c>
      <c r="Q11" s="18"/>
    </row>
    <row r="12" spans="1:17" s="58" customFormat="1" ht="12.75">
      <c r="A12" s="58" t="s">
        <v>57</v>
      </c>
      <c r="B12" s="59">
        <f>SUM(B9:B11)</f>
        <v>15173</v>
      </c>
      <c r="C12" s="59">
        <f>SUM(C9:C11)</f>
        <v>16590</v>
      </c>
      <c r="D12" s="59">
        <f>SUM(D9:D11)</f>
        <v>19418.457</v>
      </c>
      <c r="E12" s="59">
        <f>SUM(E9:E11)</f>
        <v>20043</v>
      </c>
      <c r="F12" s="60">
        <f>SUM(F9:F11)</f>
        <v>24592</v>
      </c>
      <c r="G12" s="60">
        <f>SUM(G9:G11)</f>
        <v>14093</v>
      </c>
      <c r="H12" s="60">
        <f>SUM(H9:H11)</f>
        <v>17564</v>
      </c>
      <c r="I12" s="59">
        <f>SUM(I9:I11)</f>
        <v>29825</v>
      </c>
      <c r="J12" s="60">
        <f>SUM(J9:J11)</f>
        <v>49006</v>
      </c>
      <c r="K12" s="60">
        <f>SUM(K9:K11)</f>
        <v>19502</v>
      </c>
      <c r="L12" s="60">
        <f>SUM(L9:L11)</f>
        <v>34834</v>
      </c>
      <c r="M12" s="60">
        <f>SUM(M9:M11)</f>
        <v>36399</v>
      </c>
      <c r="N12" s="60">
        <f>SUM(N9:N11)</f>
        <v>45070</v>
      </c>
      <c r="O12" s="60">
        <f>SUM(O9:O11)</f>
        <v>36785</v>
      </c>
      <c r="P12" s="60">
        <f>SUM(P9:P11)</f>
        <v>58624</v>
      </c>
      <c r="Q12" s="60">
        <f>SUM(Q9:Q11)</f>
        <v>0</v>
      </c>
    </row>
    <row r="13" spans="1:17" s="44" customFormat="1" ht="12.75">
      <c r="A13" s="61" t="s">
        <v>58</v>
      </c>
      <c r="B13" s="62">
        <f>B12+B8</f>
        <v>129514</v>
      </c>
      <c r="C13" s="62">
        <f>C12+C8</f>
        <v>138396</v>
      </c>
      <c r="D13" s="62">
        <f>D12+D8</f>
        <v>144983.16</v>
      </c>
      <c r="E13" s="62">
        <f>E12+E8</f>
        <v>149641.183</v>
      </c>
      <c r="F13" s="63">
        <f>F12+F8</f>
        <v>153618</v>
      </c>
      <c r="G13" s="63">
        <f>G12+G8</f>
        <v>142415</v>
      </c>
      <c r="H13" s="63">
        <f>H12+H8</f>
        <v>145493</v>
      </c>
      <c r="I13" s="62">
        <f>I12+I8</f>
        <v>159280</v>
      </c>
      <c r="J13" s="63">
        <f>J12+J8</f>
        <v>175041</v>
      </c>
      <c r="K13" s="63">
        <f>K12+K8</f>
        <v>140972</v>
      </c>
      <c r="L13" s="63">
        <f>L12+L8</f>
        <v>151432</v>
      </c>
      <c r="M13" s="63">
        <f>M12+M8</f>
        <v>157993</v>
      </c>
      <c r="N13" s="63">
        <f>N12+N8</f>
        <v>162661</v>
      </c>
      <c r="O13" s="63">
        <f>O12+O8</f>
        <v>152426</v>
      </c>
      <c r="P13" s="63">
        <f>P12+P8</f>
        <v>173254</v>
      </c>
      <c r="Q13" s="63">
        <f>Q12+Q8</f>
        <v>0</v>
      </c>
    </row>
    <row r="14" spans="2:17" ht="12.75">
      <c r="B14" s="18"/>
      <c r="C14" s="18"/>
      <c r="D14" s="18"/>
      <c r="E14" s="18"/>
      <c r="F14" s="19"/>
      <c r="G14" s="19"/>
      <c r="H14" s="19"/>
      <c r="I14" s="18"/>
      <c r="J14" s="19"/>
      <c r="K14" s="19"/>
      <c r="L14" s="19"/>
      <c r="M14" s="18"/>
      <c r="N14" s="19"/>
      <c r="O14" s="19"/>
      <c r="P14" s="19"/>
      <c r="Q14" s="18"/>
    </row>
    <row r="15" spans="1:17" ht="12.75">
      <c r="A15" s="44" t="s">
        <v>59</v>
      </c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</row>
    <row r="16" spans="1:17" ht="12.75">
      <c r="A16" s="13" t="s">
        <v>60</v>
      </c>
      <c r="B16" s="18">
        <v>3914</v>
      </c>
      <c r="C16" s="18">
        <v>3914.895</v>
      </c>
      <c r="D16" s="18">
        <v>3914.895</v>
      </c>
      <c r="E16" s="18">
        <v>33800</v>
      </c>
      <c r="F16" s="19">
        <v>33800</v>
      </c>
      <c r="G16" s="19">
        <v>33800</v>
      </c>
      <c r="H16" s="19">
        <v>33800</v>
      </c>
      <c r="I16" s="18">
        <v>33800</v>
      </c>
      <c r="J16" s="19">
        <v>33800</v>
      </c>
      <c r="K16" s="19">
        <v>33800</v>
      </c>
      <c r="L16" s="19">
        <v>33800</v>
      </c>
      <c r="M16" s="18">
        <v>33800</v>
      </c>
      <c r="N16" s="19">
        <v>33800</v>
      </c>
      <c r="O16" s="19">
        <v>33800</v>
      </c>
      <c r="P16" s="19">
        <v>33800</v>
      </c>
      <c r="Q16" s="18"/>
    </row>
    <row r="17" spans="1:17" ht="12.75">
      <c r="A17" s="13" t="s">
        <v>61</v>
      </c>
      <c r="B17" s="18">
        <v>94312</v>
      </c>
      <c r="C17" s="18">
        <v>107479</v>
      </c>
      <c r="D17" s="18">
        <v>116337.563</v>
      </c>
      <c r="E17" s="18">
        <v>32403</v>
      </c>
      <c r="F17" s="19">
        <v>46059</v>
      </c>
      <c r="G17" s="19">
        <v>29208</v>
      </c>
      <c r="H17" s="19">
        <v>45129</v>
      </c>
      <c r="I17" s="18">
        <v>63393</v>
      </c>
      <c r="J17" s="19">
        <v>79028</v>
      </c>
      <c r="K17" s="19">
        <v>32150</v>
      </c>
      <c r="L17" s="19">
        <v>45607</v>
      </c>
      <c r="M17" s="18">
        <v>58274</v>
      </c>
      <c r="N17" s="19">
        <v>71508</v>
      </c>
      <c r="O17" s="19">
        <v>24567</v>
      </c>
      <c r="P17" s="19">
        <v>39680</v>
      </c>
      <c r="Q17" s="18"/>
    </row>
    <row r="18" spans="1:17" s="58" customFormat="1" ht="12.75">
      <c r="A18" s="58" t="s">
        <v>103</v>
      </c>
      <c r="B18" s="59">
        <f>SUM(B16:B17)</f>
        <v>98226</v>
      </c>
      <c r="C18" s="59">
        <f>SUM(C16:C17)</f>
        <v>111393.895</v>
      </c>
      <c r="D18" s="59">
        <f>SUM(D16:D17)</f>
        <v>120252.458</v>
      </c>
      <c r="E18" s="59">
        <f>SUM(E16:E17)</f>
        <v>66203</v>
      </c>
      <c r="F18" s="60">
        <f>SUM(F16:F17)</f>
        <v>79859</v>
      </c>
      <c r="G18" s="60">
        <f>SUM(G16:G17)</f>
        <v>63008</v>
      </c>
      <c r="H18" s="60">
        <f>SUM(H16:H17)</f>
        <v>78929</v>
      </c>
      <c r="I18" s="59">
        <f>SUM(I16:I17)</f>
        <v>97193</v>
      </c>
      <c r="J18" s="60">
        <f>SUM(J16:J17)</f>
        <v>112828</v>
      </c>
      <c r="K18" s="60">
        <f>SUM(K16:K17)</f>
        <v>65950</v>
      </c>
      <c r="L18" s="60">
        <f>SUM(L16:L17)</f>
        <v>79407</v>
      </c>
      <c r="M18" s="60">
        <f>SUM(M16:M17)</f>
        <v>92074</v>
      </c>
      <c r="N18" s="60">
        <f>SUM(N16:N17)</f>
        <v>105308</v>
      </c>
      <c r="O18" s="60">
        <f>SUM(O16:O17)</f>
        <v>58367</v>
      </c>
      <c r="P18" s="60">
        <f>SUM(P16:P17)</f>
        <v>73480</v>
      </c>
      <c r="Q18" s="60">
        <f>SUM(Q16:Q17)</f>
        <v>0</v>
      </c>
    </row>
    <row r="19" spans="1:17" ht="12.75">
      <c r="A19" s="13" t="s">
        <v>62</v>
      </c>
      <c r="B19" s="18">
        <v>0</v>
      </c>
      <c r="C19" s="18">
        <v>0</v>
      </c>
      <c r="D19" s="18">
        <v>0</v>
      </c>
      <c r="E19" s="18">
        <v>0</v>
      </c>
      <c r="F19" s="19">
        <v>0</v>
      </c>
      <c r="G19" s="19">
        <v>0</v>
      </c>
      <c r="H19" s="19">
        <v>0</v>
      </c>
      <c r="I19" s="18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12.75">
      <c r="A20" s="13" t="s">
        <v>63</v>
      </c>
      <c r="B20" s="18">
        <v>3996</v>
      </c>
      <c r="C20" s="18">
        <v>4086</v>
      </c>
      <c r="D20" s="18">
        <v>3990.934</v>
      </c>
      <c r="E20" s="18">
        <v>5104</v>
      </c>
      <c r="F20" s="19">
        <v>5252</v>
      </c>
      <c r="G20" s="19">
        <v>5699</v>
      </c>
      <c r="H20" s="19">
        <v>5800</v>
      </c>
      <c r="I20" s="18">
        <v>5232</v>
      </c>
      <c r="J20" s="19">
        <v>5262</v>
      </c>
      <c r="K20" s="19">
        <v>5296</v>
      </c>
      <c r="L20" s="19">
        <v>5486</v>
      </c>
      <c r="M20" s="18">
        <v>4442</v>
      </c>
      <c r="N20" s="19">
        <v>4432</v>
      </c>
      <c r="O20" s="19">
        <v>4271</v>
      </c>
      <c r="P20" s="19">
        <v>4932</v>
      </c>
      <c r="Q20" s="18"/>
    </row>
    <row r="21" spans="1:17" ht="12.75">
      <c r="A21" s="13" t="s">
        <v>64</v>
      </c>
      <c r="B21" s="18">
        <v>350</v>
      </c>
      <c r="C21" s="18">
        <v>494.881</v>
      </c>
      <c r="D21" s="18">
        <v>494.881</v>
      </c>
      <c r="E21" s="18">
        <v>988</v>
      </c>
      <c r="F21" s="19">
        <v>1408</v>
      </c>
      <c r="G21" s="19">
        <v>988</v>
      </c>
      <c r="H21" s="19">
        <v>988</v>
      </c>
      <c r="I21" s="18">
        <v>1426</v>
      </c>
      <c r="J21" s="19">
        <v>1388</v>
      </c>
      <c r="K21" s="19">
        <v>1350</v>
      </c>
      <c r="L21" s="19">
        <v>1312</v>
      </c>
      <c r="M21" s="18">
        <v>1376</v>
      </c>
      <c r="N21" s="19">
        <v>1350</v>
      </c>
      <c r="O21" s="19">
        <v>1362</v>
      </c>
      <c r="P21" s="19">
        <v>1323</v>
      </c>
      <c r="Q21" s="18"/>
    </row>
    <row r="22" spans="1:17" s="58" customFormat="1" ht="12.75">
      <c r="A22" s="58" t="s">
        <v>65</v>
      </c>
      <c r="B22" s="59">
        <f>SUM(B19:B21)</f>
        <v>4346</v>
      </c>
      <c r="C22" s="59">
        <f>SUM(C19:C21)</f>
        <v>4580.881</v>
      </c>
      <c r="D22" s="59">
        <f>SUM(D19:D21)</f>
        <v>4485.8150000000005</v>
      </c>
      <c r="E22" s="59">
        <f>SUM(E19:E21)</f>
        <v>6092</v>
      </c>
      <c r="F22" s="60">
        <f>SUM(F19:F21)</f>
        <v>6660</v>
      </c>
      <c r="G22" s="60">
        <f>SUM(G19:G21)</f>
        <v>6687</v>
      </c>
      <c r="H22" s="60">
        <f>SUM(H19:H21)</f>
        <v>6788</v>
      </c>
      <c r="I22" s="59">
        <f>SUM(I19:I21)</f>
        <v>6658</v>
      </c>
      <c r="J22" s="60">
        <f>SUM(J19:J21)</f>
        <v>6650</v>
      </c>
      <c r="K22" s="60">
        <f>SUM(K19:K21)</f>
        <v>6646</v>
      </c>
      <c r="L22" s="60">
        <f>SUM(L19:L21)</f>
        <v>6798</v>
      </c>
      <c r="M22" s="60">
        <f>SUM(M19:M21)</f>
        <v>5818</v>
      </c>
      <c r="N22" s="60">
        <f>SUM(N19:N21)</f>
        <v>5782</v>
      </c>
      <c r="O22" s="60">
        <f>SUM(O19:O21)</f>
        <v>5633</v>
      </c>
      <c r="P22" s="60">
        <f>SUM(P19:P21)</f>
        <v>6255</v>
      </c>
      <c r="Q22" s="60">
        <f>SUM(Q19:Q21)</f>
        <v>0</v>
      </c>
    </row>
    <row r="23" spans="1:17" ht="12.75">
      <c r="A23" s="13" t="s">
        <v>66</v>
      </c>
      <c r="B23" s="18">
        <v>0</v>
      </c>
      <c r="C23" s="18">
        <v>0</v>
      </c>
      <c r="D23" s="18">
        <v>0</v>
      </c>
      <c r="E23" s="18">
        <v>48991</v>
      </c>
      <c r="F23" s="19">
        <v>44772</v>
      </c>
      <c r="G23" s="19">
        <v>50992</v>
      </c>
      <c r="H23" s="19">
        <v>30530</v>
      </c>
      <c r="I23" s="18">
        <v>24721</v>
      </c>
      <c r="J23" s="19">
        <v>23526</v>
      </c>
      <c r="K23" s="19">
        <v>20766</v>
      </c>
      <c r="L23" s="19">
        <v>16719</v>
      </c>
      <c r="M23" s="18">
        <v>25020</v>
      </c>
      <c r="N23" s="19">
        <v>24727</v>
      </c>
      <c r="O23" s="19">
        <v>47155</v>
      </c>
      <c r="P23" s="19">
        <v>50162</v>
      </c>
      <c r="Q23" s="18"/>
    </row>
    <row r="24" spans="1:17" ht="12.75">
      <c r="A24" s="13" t="s">
        <v>105</v>
      </c>
      <c r="B24" s="18">
        <v>26942</v>
      </c>
      <c r="C24" s="18">
        <v>22421</v>
      </c>
      <c r="D24" s="18">
        <v>20244.887000000002</v>
      </c>
      <c r="E24" s="18">
        <v>28355</v>
      </c>
      <c r="F24" s="19">
        <v>22327</v>
      </c>
      <c r="G24" s="19">
        <v>21728</v>
      </c>
      <c r="H24" s="19">
        <v>29246</v>
      </c>
      <c r="I24" s="18">
        <v>30708</v>
      </c>
      <c r="J24" s="19">
        <v>32037</v>
      </c>
      <c r="K24" s="19">
        <v>47610</v>
      </c>
      <c r="L24" s="19">
        <v>48508</v>
      </c>
      <c r="M24" s="18">
        <v>35081</v>
      </c>
      <c r="N24" s="19">
        <v>26844</v>
      </c>
      <c r="O24" s="19">
        <v>41271</v>
      </c>
      <c r="P24" s="19">
        <v>43357</v>
      </c>
      <c r="Q24" s="18"/>
    </row>
    <row r="25" spans="1:17" s="58" customFormat="1" ht="12.75">
      <c r="A25" s="58" t="s">
        <v>67</v>
      </c>
      <c r="B25" s="59">
        <f aca="true" t="shared" si="0" ref="B25:G25">SUM(B23:B24)</f>
        <v>26942</v>
      </c>
      <c r="C25" s="59">
        <f t="shared" si="0"/>
        <v>22421</v>
      </c>
      <c r="D25" s="59">
        <f t="shared" si="0"/>
        <v>20244.887000000002</v>
      </c>
      <c r="E25" s="59">
        <f t="shared" si="0"/>
        <v>77346</v>
      </c>
      <c r="F25" s="60">
        <f t="shared" si="0"/>
        <v>67099</v>
      </c>
      <c r="G25" s="60">
        <f t="shared" si="0"/>
        <v>72720</v>
      </c>
      <c r="H25" s="60">
        <f>SUM(H23:H24)</f>
        <v>59776</v>
      </c>
      <c r="I25" s="59">
        <f>SUM(I23:I24)</f>
        <v>55429</v>
      </c>
      <c r="J25" s="60">
        <f>SUM(J23:J24)</f>
        <v>55563</v>
      </c>
      <c r="K25" s="60">
        <f>SUM(K23:K24)</f>
        <v>68376</v>
      </c>
      <c r="L25" s="60">
        <f>SUM(L23:L24)</f>
        <v>65227</v>
      </c>
      <c r="M25" s="60">
        <f>SUM(M23:M24)</f>
        <v>60101</v>
      </c>
      <c r="N25" s="60">
        <f>SUM(N23:N24)</f>
        <v>51571</v>
      </c>
      <c r="O25" s="60">
        <f>SUM(O23:O24)</f>
        <v>88426</v>
      </c>
      <c r="P25" s="60">
        <f>SUM(P23:P24)</f>
        <v>93519</v>
      </c>
      <c r="Q25" s="60">
        <f>SUM(Q23:Q24)</f>
        <v>0</v>
      </c>
    </row>
    <row r="26" spans="1:17" s="58" customFormat="1" ht="12.75">
      <c r="A26" s="58" t="s">
        <v>104</v>
      </c>
      <c r="B26" s="59">
        <f aca="true" t="shared" si="1" ref="B26:G26">B25+B22</f>
        <v>31288</v>
      </c>
      <c r="C26" s="59">
        <f t="shared" si="1"/>
        <v>27001.881</v>
      </c>
      <c r="D26" s="59">
        <f t="shared" si="1"/>
        <v>24730.702000000005</v>
      </c>
      <c r="E26" s="59">
        <f t="shared" si="1"/>
        <v>83438</v>
      </c>
      <c r="F26" s="60">
        <f t="shared" si="1"/>
        <v>73759</v>
      </c>
      <c r="G26" s="60">
        <f t="shared" si="1"/>
        <v>79407</v>
      </c>
      <c r="H26" s="60">
        <f>H25+H22</f>
        <v>66564</v>
      </c>
      <c r="I26" s="59">
        <f>I25+I22</f>
        <v>62087</v>
      </c>
      <c r="J26" s="60">
        <f>J25+J22</f>
        <v>62213</v>
      </c>
      <c r="K26" s="60">
        <f>K25+K22</f>
        <v>75022</v>
      </c>
      <c r="L26" s="60">
        <f>L25+L22</f>
        <v>72025</v>
      </c>
      <c r="M26" s="60">
        <f>M25+M22</f>
        <v>65919</v>
      </c>
      <c r="N26" s="60">
        <f>N25+N22</f>
        <v>57353</v>
      </c>
      <c r="O26" s="60">
        <f>O25+O22</f>
        <v>94059</v>
      </c>
      <c r="P26" s="60">
        <f>P25+P22</f>
        <v>99774</v>
      </c>
      <c r="Q26" s="60">
        <f>Q25+Q22</f>
        <v>0</v>
      </c>
    </row>
    <row r="27" spans="1:17" s="44" customFormat="1" ht="12.75">
      <c r="A27" s="61" t="s">
        <v>68</v>
      </c>
      <c r="B27" s="62">
        <f aca="true" t="shared" si="2" ref="B27:G27">B26+B18</f>
        <v>129514</v>
      </c>
      <c r="C27" s="62">
        <f t="shared" si="2"/>
        <v>138395.776</v>
      </c>
      <c r="D27" s="62">
        <f t="shared" si="2"/>
        <v>144983.16</v>
      </c>
      <c r="E27" s="62">
        <f t="shared" si="2"/>
        <v>149641</v>
      </c>
      <c r="F27" s="63">
        <f t="shared" si="2"/>
        <v>153618</v>
      </c>
      <c r="G27" s="63">
        <f t="shared" si="2"/>
        <v>142415</v>
      </c>
      <c r="H27" s="63">
        <f>H26+H18</f>
        <v>145493</v>
      </c>
      <c r="I27" s="62">
        <f>I26+I18</f>
        <v>159280</v>
      </c>
      <c r="J27" s="63">
        <f>J26+J18</f>
        <v>175041</v>
      </c>
      <c r="K27" s="63">
        <f>K26+K18</f>
        <v>140972</v>
      </c>
      <c r="L27" s="63">
        <f>L26+L18</f>
        <v>151432</v>
      </c>
      <c r="M27" s="63">
        <f>M26+M18</f>
        <v>157993</v>
      </c>
      <c r="N27" s="63">
        <f>N26+N18</f>
        <v>162661</v>
      </c>
      <c r="O27" s="63">
        <f>O26+O18</f>
        <v>152426</v>
      </c>
      <c r="P27" s="63">
        <f>P26+P18</f>
        <v>173254</v>
      </c>
      <c r="Q27" s="63">
        <f>Q26+Q18</f>
        <v>0</v>
      </c>
    </row>
    <row r="28" spans="2:17" ht="12.75">
      <c r="B28" s="20">
        <f aca="true" t="shared" si="3" ref="B28:G28">B27-B13</f>
        <v>0</v>
      </c>
      <c r="C28" s="20">
        <f t="shared" si="3"/>
        <v>-0.22399999998742715</v>
      </c>
      <c r="D28" s="20">
        <f t="shared" si="3"/>
        <v>0</v>
      </c>
      <c r="E28" s="20">
        <f t="shared" si="3"/>
        <v>-0.18299999998998828</v>
      </c>
      <c r="F28" s="21">
        <f t="shared" si="3"/>
        <v>0</v>
      </c>
      <c r="G28" s="21">
        <f t="shared" si="3"/>
        <v>0</v>
      </c>
      <c r="H28" s="21">
        <f>H27-H13</f>
        <v>0</v>
      </c>
      <c r="I28" s="20">
        <f>I27-I13</f>
        <v>0</v>
      </c>
      <c r="J28" s="21">
        <f>J27-J13</f>
        <v>0</v>
      </c>
      <c r="K28" s="21">
        <f>K27-K13</f>
        <v>0</v>
      </c>
      <c r="L28" s="21">
        <f>L27-L13</f>
        <v>0</v>
      </c>
      <c r="M28" s="21">
        <f>M27-M13</f>
        <v>0</v>
      </c>
      <c r="N28" s="21">
        <f>N27-N13</f>
        <v>0</v>
      </c>
      <c r="O28" s="21">
        <f>O27-O13</f>
        <v>0</v>
      </c>
      <c r="P28" s="21">
        <f>P27-P13</f>
        <v>0</v>
      </c>
      <c r="Q28" s="21">
        <f>Q27-Q13</f>
        <v>0</v>
      </c>
    </row>
    <row r="31" spans="2:5" ht="12.75">
      <c r="B31" s="20"/>
      <c r="C31" s="20"/>
      <c r="D31" s="20"/>
      <c r="E31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9" sqref="T19"/>
    </sheetView>
  </sheetViews>
  <sheetFormatPr defaultColWidth="8.8515625" defaultRowHeight="15"/>
  <cols>
    <col min="1" max="1" width="59.8515625" style="13" customWidth="1"/>
    <col min="2" max="5" width="13.57421875" style="13" bestFit="1" customWidth="1"/>
    <col min="6" max="9" width="11.28125" style="45" customWidth="1"/>
    <col min="10" max="10" width="13.57421875" style="13" bestFit="1" customWidth="1"/>
    <col min="11" max="11" width="9.7109375" style="45" customWidth="1"/>
    <col min="12" max="14" width="10.28125" style="45" customWidth="1"/>
    <col min="15" max="15" width="10.00390625" style="13" customWidth="1"/>
    <col min="16" max="16" width="10.28125" style="13" customWidth="1"/>
    <col min="17" max="19" width="10.28125" style="13" bestFit="1" customWidth="1"/>
    <col min="20" max="21" width="9.28125" style="13" bestFit="1" customWidth="1"/>
    <col min="22" max="24" width="9.00390625" style="13" bestFit="1" customWidth="1"/>
    <col min="25" max="16384" width="8.8515625" style="13" customWidth="1"/>
  </cols>
  <sheetData>
    <row r="2" spans="1:24" ht="12.75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 ht="12.75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 ht="12.75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52242</v>
      </c>
      <c r="U4" s="19">
        <v>19062</v>
      </c>
      <c r="V4" s="19">
        <v>17794</v>
      </c>
      <c r="W4" s="19">
        <v>15386</v>
      </c>
      <c r="X4" s="45"/>
    </row>
    <row r="5" spans="1:24" ht="12.75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-6356</v>
      </c>
      <c r="U5" s="19">
        <v>-7307</v>
      </c>
      <c r="V5" s="19">
        <v>-1418</v>
      </c>
      <c r="W5" s="19">
        <v>2369</v>
      </c>
      <c r="X5" s="45"/>
    </row>
    <row r="6" spans="1:24" s="64" customFormat="1" ht="12.75">
      <c r="A6" s="64" t="s">
        <v>72</v>
      </c>
      <c r="B6" s="65">
        <f>B4+B5</f>
        <v>55137</v>
      </c>
      <c r="C6" s="65">
        <f aca="true" t="shared" si="0" ref="C6:S6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>T4+T5</f>
        <v>45886</v>
      </c>
      <c r="U6" s="66">
        <f>U4+U5</f>
        <v>11755</v>
      </c>
      <c r="V6" s="66">
        <f>V4+V5</f>
        <v>16376</v>
      </c>
      <c r="W6" s="66">
        <f>W4+W5</f>
        <v>17755</v>
      </c>
      <c r="X6" s="66">
        <f>X4+X5</f>
        <v>0</v>
      </c>
    </row>
    <row r="7" spans="1:24" ht="12.75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-19307</v>
      </c>
      <c r="U7" s="19">
        <v>-8566</v>
      </c>
      <c r="V7" s="19">
        <v>-5155</v>
      </c>
      <c r="W7" s="19">
        <v>-5586</v>
      </c>
      <c r="X7" s="45"/>
    </row>
    <row r="8" spans="1:24" s="44" customFormat="1" ht="12.75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>F6+F7</f>
        <v>15227</v>
      </c>
      <c r="G8" s="47">
        <f>G6+G7</f>
        <v>10216</v>
      </c>
      <c r="H8" s="47">
        <f>H6+H7</f>
        <v>17399</v>
      </c>
      <c r="I8" s="47">
        <f>I6+I7</f>
        <v>18361.800000000003</v>
      </c>
      <c r="J8" s="35">
        <f>J6+J7</f>
        <v>80743</v>
      </c>
      <c r="K8" s="47">
        <f aca="true" t="shared" si="1" ref="K8:S8">K6+K7</f>
        <v>11026</v>
      </c>
      <c r="L8" s="47">
        <f t="shared" si="1"/>
        <v>26581</v>
      </c>
      <c r="M8" s="47">
        <f t="shared" si="1"/>
        <v>23363</v>
      </c>
      <c r="N8" s="47">
        <f t="shared" si="1"/>
        <v>19773</v>
      </c>
      <c r="O8" s="35">
        <f t="shared" si="1"/>
        <v>63744</v>
      </c>
      <c r="P8" s="47">
        <f t="shared" si="1"/>
        <v>17988</v>
      </c>
      <c r="Q8" s="47">
        <f t="shared" si="1"/>
        <v>16213</v>
      </c>
      <c r="R8" s="47">
        <f t="shared" si="1"/>
        <v>17887</v>
      </c>
      <c r="S8" s="47">
        <f t="shared" si="1"/>
        <v>11656</v>
      </c>
      <c r="T8" s="35">
        <f>T6+T7</f>
        <v>26579</v>
      </c>
      <c r="U8" s="47">
        <f>U6+U7</f>
        <v>3189</v>
      </c>
      <c r="V8" s="47">
        <f>V6+V7</f>
        <v>11221</v>
      </c>
      <c r="W8" s="47">
        <f>W6+W7</f>
        <v>12169</v>
      </c>
      <c r="X8" s="47">
        <f>X6+X7</f>
        <v>0</v>
      </c>
    </row>
    <row r="9" spans="1:24" ht="12.75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</row>
    <row r="10" spans="1:24" s="64" customFormat="1" ht="12.75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aca="true" t="shared" si="2" ref="H10:S10">H7</f>
        <v>-5331</v>
      </c>
      <c r="I10" s="66">
        <f t="shared" si="2"/>
        <v>-5127</v>
      </c>
      <c r="J10" s="65">
        <f t="shared" si="2"/>
        <v>-17313</v>
      </c>
      <c r="K10" s="66">
        <f t="shared" si="2"/>
        <v>-5263</v>
      </c>
      <c r="L10" s="66">
        <f t="shared" si="2"/>
        <v>-3710</v>
      </c>
      <c r="M10" s="66">
        <f t="shared" si="2"/>
        <v>-6900</v>
      </c>
      <c r="N10" s="66">
        <f t="shared" si="2"/>
        <v>-1440</v>
      </c>
      <c r="O10" s="65">
        <f t="shared" si="2"/>
        <v>-19815</v>
      </c>
      <c r="P10" s="66">
        <f t="shared" si="2"/>
        <v>-2548</v>
      </c>
      <c r="Q10" s="66">
        <f t="shared" si="2"/>
        <v>-3822</v>
      </c>
      <c r="R10" s="66">
        <f t="shared" si="2"/>
        <v>-7160</v>
      </c>
      <c r="S10" s="66">
        <f t="shared" si="2"/>
        <v>-6285</v>
      </c>
      <c r="T10" s="65">
        <f>T7</f>
        <v>-19307</v>
      </c>
      <c r="U10" s="66">
        <f>U7</f>
        <v>-8566</v>
      </c>
      <c r="V10" s="66">
        <f>V7</f>
        <v>-5155</v>
      </c>
      <c r="W10" s="66">
        <f>W7</f>
        <v>-5586</v>
      </c>
      <c r="X10" s="66">
        <f>X7</f>
        <v>0</v>
      </c>
    </row>
    <row r="11" spans="1:24" ht="12.75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aca="true" t="shared" si="3" ref="F11:S11">F8</f>
        <v>15227</v>
      </c>
      <c r="G11" s="19">
        <f t="shared" si="3"/>
        <v>10216</v>
      </c>
      <c r="H11" s="19">
        <f t="shared" si="3"/>
        <v>17399</v>
      </c>
      <c r="I11" s="19">
        <f t="shared" si="3"/>
        <v>18361.800000000003</v>
      </c>
      <c r="J11" s="18">
        <f t="shared" si="3"/>
        <v>80743</v>
      </c>
      <c r="K11" s="19">
        <f t="shared" si="3"/>
        <v>11026</v>
      </c>
      <c r="L11" s="19">
        <f t="shared" si="3"/>
        <v>26581</v>
      </c>
      <c r="M11" s="19">
        <f t="shared" si="3"/>
        <v>23363</v>
      </c>
      <c r="N11" s="19">
        <f t="shared" si="3"/>
        <v>19773</v>
      </c>
      <c r="O11" s="18">
        <f t="shared" si="3"/>
        <v>63744</v>
      </c>
      <c r="P11" s="19">
        <f t="shared" si="3"/>
        <v>17988</v>
      </c>
      <c r="Q11" s="19">
        <f t="shared" si="3"/>
        <v>16213</v>
      </c>
      <c r="R11" s="19">
        <f t="shared" si="3"/>
        <v>17887</v>
      </c>
      <c r="S11" s="19">
        <f t="shared" si="3"/>
        <v>11656</v>
      </c>
      <c r="T11" s="18">
        <f>T8</f>
        <v>26579</v>
      </c>
      <c r="U11" s="19">
        <f>U8</f>
        <v>3189</v>
      </c>
      <c r="V11" s="19">
        <f>V8</f>
        <v>11221</v>
      </c>
      <c r="W11" s="19">
        <f>W8</f>
        <v>12169</v>
      </c>
      <c r="X11" s="19">
        <f>X8</f>
        <v>0</v>
      </c>
    </row>
    <row r="12" spans="1:24" s="65" customFormat="1" ht="12.75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-15482</v>
      </c>
      <c r="U12" s="66">
        <v>0</v>
      </c>
      <c r="V12" s="66">
        <v>-18782</v>
      </c>
      <c r="W12" s="66">
        <v>3300</v>
      </c>
      <c r="X12" s="66"/>
    </row>
    <row r="13" spans="1:24" s="44" customFormat="1" ht="12.75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>F11+F12</f>
        <v>3011</v>
      </c>
      <c r="G13" s="47">
        <f>G11+G12</f>
        <v>-3501</v>
      </c>
      <c r="H13" s="47">
        <f>H11+H12</f>
        <v>214</v>
      </c>
      <c r="I13" s="47">
        <f>I11+I12</f>
        <v>1997.800000000003</v>
      </c>
      <c r="J13" s="35">
        <f>J11+J12</f>
        <v>15841</v>
      </c>
      <c r="K13" s="47">
        <f>K11+K12</f>
        <v>-924</v>
      </c>
      <c r="L13" s="47">
        <f>L11+L12</f>
        <v>-71</v>
      </c>
      <c r="M13" s="47">
        <f>M11+M12</f>
        <v>3113</v>
      </c>
      <c r="N13" s="47">
        <f>N11+N12</f>
        <v>13723</v>
      </c>
      <c r="O13" s="35">
        <f>O11+O12</f>
        <v>604</v>
      </c>
      <c r="P13" s="47">
        <f>P11+P12</f>
        <v>17038</v>
      </c>
      <c r="Q13" s="47">
        <f>Q11+Q12</f>
        <v>-31149</v>
      </c>
      <c r="R13" s="47">
        <f>R11+R12</f>
        <v>14087</v>
      </c>
      <c r="S13" s="47">
        <f>S11+S12</f>
        <v>628</v>
      </c>
      <c r="T13" s="35">
        <f>T11+T12</f>
        <v>11097</v>
      </c>
      <c r="U13" s="47">
        <f>U11+U12</f>
        <v>3189</v>
      </c>
      <c r="V13" s="47">
        <f>V11+V12</f>
        <v>-7561</v>
      </c>
      <c r="W13" s="47">
        <f>W11+W12</f>
        <v>15469</v>
      </c>
      <c r="X13" s="47">
        <f>X11+X12</f>
        <v>0</v>
      </c>
    </row>
    <row r="14" spans="2:24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</row>
    <row r="15" spans="1:24" ht="12.75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4363.869</v>
      </c>
      <c r="H15" s="19">
        <f>G19</f>
        <v>862.8689999999997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5192.869</v>
      </c>
      <c r="O15" s="20">
        <f>N19</f>
        <v>18915.869</v>
      </c>
      <c r="P15" s="19">
        <f>N19</f>
        <v>18915.869</v>
      </c>
      <c r="Q15" s="21">
        <f>P19</f>
        <v>35953.869</v>
      </c>
      <c r="R15" s="21">
        <f>Q19</f>
        <v>4804.868999999999</v>
      </c>
      <c r="S15" s="21">
        <f>R19</f>
        <v>18891.869</v>
      </c>
      <c r="T15" s="20">
        <f>S19</f>
        <v>19519.869</v>
      </c>
      <c r="U15" s="19">
        <f>S19</f>
        <v>19519.869</v>
      </c>
      <c r="V15" s="21">
        <f>U19</f>
        <v>22971.869</v>
      </c>
      <c r="W15" s="21">
        <f>V19</f>
        <v>15451.868999999999</v>
      </c>
      <c r="X15" s="21">
        <f>W19</f>
        <v>38957.869</v>
      </c>
    </row>
    <row r="16" spans="1:24" ht="12.75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</row>
    <row r="17" spans="1:24" ht="12.75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aca="true" t="shared" si="4" ref="F17:S17">F13</f>
        <v>3011</v>
      </c>
      <c r="G17" s="19">
        <f t="shared" si="4"/>
        <v>-3501</v>
      </c>
      <c r="H17" s="19">
        <f t="shared" si="4"/>
        <v>214</v>
      </c>
      <c r="I17" s="19">
        <f t="shared" si="4"/>
        <v>1997.800000000003</v>
      </c>
      <c r="J17" s="18">
        <f t="shared" si="4"/>
        <v>15841</v>
      </c>
      <c r="K17" s="19">
        <f t="shared" si="4"/>
        <v>-924</v>
      </c>
      <c r="L17" s="19">
        <f t="shared" si="4"/>
        <v>-71</v>
      </c>
      <c r="M17" s="19">
        <f t="shared" si="4"/>
        <v>3113</v>
      </c>
      <c r="N17" s="19">
        <f t="shared" si="4"/>
        <v>13723</v>
      </c>
      <c r="O17" s="18">
        <f t="shared" si="4"/>
        <v>604</v>
      </c>
      <c r="P17" s="19">
        <f t="shared" si="4"/>
        <v>17038</v>
      </c>
      <c r="Q17" s="19">
        <f t="shared" si="4"/>
        <v>-31149</v>
      </c>
      <c r="R17" s="19">
        <f t="shared" si="4"/>
        <v>14087</v>
      </c>
      <c r="S17" s="19">
        <f t="shared" si="4"/>
        <v>628</v>
      </c>
      <c r="T17" s="18">
        <f>T13</f>
        <v>11097</v>
      </c>
      <c r="U17" s="19">
        <f>U13</f>
        <v>3189</v>
      </c>
      <c r="V17" s="19">
        <f>V13</f>
        <v>-7561</v>
      </c>
      <c r="W17" s="19">
        <f>W13</f>
        <v>15469</v>
      </c>
      <c r="X17" s="19">
        <f>X13</f>
        <v>0</v>
      </c>
    </row>
    <row r="18" spans="1:24" ht="12.75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8341</v>
      </c>
      <c r="U18" s="19">
        <v>263</v>
      </c>
      <c r="V18" s="45">
        <v>41</v>
      </c>
      <c r="W18" s="19">
        <v>8037</v>
      </c>
      <c r="X18" s="45"/>
    </row>
    <row r="19" spans="1:24" s="44" customFormat="1" ht="12.75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>F15+F17</f>
        <v>4363.869</v>
      </c>
      <c r="G19" s="47">
        <f>G15+G17</f>
        <v>862.8689999999997</v>
      </c>
      <c r="H19" s="47">
        <f>H15+H17</f>
        <v>1076.8689999999997</v>
      </c>
      <c r="I19" s="47">
        <f>I15+I17</f>
        <v>3074.6690000000026</v>
      </c>
      <c r="J19" s="35">
        <f>J15+J17</f>
        <v>18915.869</v>
      </c>
      <c r="K19" s="47">
        <f aca="true" t="shared" si="5" ref="K19:S19">K15+K17</f>
        <v>2150.8689999999997</v>
      </c>
      <c r="L19" s="47">
        <f t="shared" si="5"/>
        <v>2079.8689999999997</v>
      </c>
      <c r="M19" s="47">
        <f t="shared" si="5"/>
        <v>5192.869</v>
      </c>
      <c r="N19" s="47">
        <f t="shared" si="5"/>
        <v>18915.869</v>
      </c>
      <c r="O19" s="35">
        <f t="shared" si="5"/>
        <v>19519.869</v>
      </c>
      <c r="P19" s="47">
        <f t="shared" si="5"/>
        <v>35953.869</v>
      </c>
      <c r="Q19" s="47">
        <f t="shared" si="5"/>
        <v>4804.868999999999</v>
      </c>
      <c r="R19" s="47">
        <f t="shared" si="5"/>
        <v>18891.869</v>
      </c>
      <c r="S19" s="47">
        <f t="shared" si="5"/>
        <v>19519.869</v>
      </c>
      <c r="T19" s="35">
        <f>T15+T17+T18</f>
        <v>38957.869</v>
      </c>
      <c r="U19" s="47">
        <f>U15+U17+U18</f>
        <v>22971.869</v>
      </c>
      <c r="V19" s="47">
        <f>V15+V17+V18</f>
        <v>15451.868999999999</v>
      </c>
      <c r="W19" s="47">
        <f>W15+W17+W18</f>
        <v>38957.869</v>
      </c>
      <c r="X19" s="47">
        <f>X15+X17+X18</f>
        <v>38957.869</v>
      </c>
    </row>
    <row r="20" spans="2:16" ht="12.75">
      <c r="B20" s="20">
        <f>B19-'Financial Position'!B11</f>
        <v>0</v>
      </c>
      <c r="C20" s="20">
        <f>C19-'Financial Position'!C11</f>
        <v>0</v>
      </c>
      <c r="D20" s="20">
        <f>D19-'Financial Position'!D11</f>
        <v>-0.12700000000040745</v>
      </c>
      <c r="E20" s="20">
        <f>E19-'Financial Position'!E11</f>
        <v>-0.13100000000031287</v>
      </c>
      <c r="F20" s="21"/>
      <c r="G20" s="21"/>
      <c r="H20" s="21"/>
      <c r="I20" s="21"/>
      <c r="J20" s="20">
        <f>J19-'Financial Position'!I11</f>
        <v>-0.13100000000122236</v>
      </c>
      <c r="L20" s="21"/>
      <c r="M20" s="21"/>
      <c r="N20" s="21"/>
      <c r="P20" s="20"/>
    </row>
    <row r="47" ht="12.75">
      <c r="A47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8.8515625" defaultRowHeight="15" outlineLevelRow="1"/>
  <cols>
    <col min="1" max="1" width="26.140625" style="13" customWidth="1"/>
    <col min="2" max="5" width="9.8515625" style="13" bestFit="1" customWidth="1"/>
    <col min="6" max="9" width="8.28125" style="45" customWidth="1"/>
    <col min="10" max="10" width="9.8515625" style="13" bestFit="1" customWidth="1"/>
    <col min="11" max="11" width="8.28125" style="45" customWidth="1"/>
    <col min="12" max="12" width="8.7109375" style="45" bestFit="1" customWidth="1"/>
    <col min="13" max="13" width="9.00390625" style="45" customWidth="1"/>
    <col min="14" max="14" width="8.7109375" style="45" bestFit="1" customWidth="1"/>
    <col min="15" max="15" width="8.8515625" style="13" customWidth="1"/>
    <col min="16" max="19" width="9.140625" style="45" bestFit="1" customWidth="1"/>
    <col min="20" max="24" width="9.00390625" style="13" bestFit="1" customWidth="1"/>
    <col min="25" max="16384" width="8.8515625" style="13" customWidth="1"/>
  </cols>
  <sheetData>
    <row r="2" spans="1:24" ht="12.75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 ht="12.75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 ht="12.75">
      <c r="A4" s="44" t="s">
        <v>84</v>
      </c>
      <c r="D4" s="18"/>
      <c r="E4" s="18"/>
      <c r="U4" s="45"/>
      <c r="V4" s="45"/>
      <c r="W4" s="45"/>
      <c r="X4" s="45"/>
    </row>
    <row r="5" spans="1:24" ht="12.75">
      <c r="A5" s="13" t="s">
        <v>50</v>
      </c>
      <c r="B5" s="18">
        <v>3073.5793644627456</v>
      </c>
      <c r="C5" s="18">
        <v>7315.782029067505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4587</v>
      </c>
      <c r="U5" s="19">
        <v>333</v>
      </c>
      <c r="V5" s="19">
        <v>2484</v>
      </c>
      <c r="W5" s="19">
        <v>1770</v>
      </c>
      <c r="X5" s="45"/>
    </row>
    <row r="6" spans="1:24" ht="12.75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6275</v>
      </c>
      <c r="U6" s="19">
        <v>1757</v>
      </c>
      <c r="V6" s="19">
        <v>1361</v>
      </c>
      <c r="W6" s="19">
        <v>3157</v>
      </c>
      <c r="X6" s="19"/>
    </row>
    <row r="7" spans="1:24" s="44" customFormat="1" ht="12.75">
      <c r="A7" s="44" t="s">
        <v>85</v>
      </c>
      <c r="B7" s="35">
        <f aca="true" t="shared" si="0" ref="B7:S7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10862</v>
      </c>
      <c r="U7" s="47">
        <f>SUM(U5:U6)</f>
        <v>2090</v>
      </c>
      <c r="V7" s="47">
        <f>SUM(V5:V6)</f>
        <v>3845</v>
      </c>
      <c r="W7" s="47">
        <f>SUM(W5:W6)</f>
        <v>4927</v>
      </c>
      <c r="X7" s="47">
        <f>SUM(X5:X6)</f>
        <v>0</v>
      </c>
    </row>
    <row r="8" spans="21:24" ht="12.75">
      <c r="U8" s="45"/>
      <c r="V8" s="45"/>
      <c r="W8" s="45"/>
      <c r="X8" s="45"/>
    </row>
    <row r="9" spans="1:24" ht="12.75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</v>
      </c>
      <c r="G9" s="19">
        <f>Revenues!G8</f>
        <v>44383.18789224001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46271.2</v>
      </c>
      <c r="M9" s="19">
        <f>Revenues!M8</f>
        <v>48749</v>
      </c>
      <c r="N9" s="19">
        <v>49526</v>
      </c>
      <c r="O9" s="18">
        <f>SUM(P9:S9)</f>
        <v>187580.54975612</v>
      </c>
      <c r="P9" s="19">
        <f>Revenues!P8</f>
        <v>44107</v>
      </c>
      <c r="Q9" s="19">
        <f>Revenues!Q8</f>
        <v>48034.64975612</v>
      </c>
      <c r="R9" s="19">
        <f>Revenues!R8</f>
        <v>49165.4</v>
      </c>
      <c r="S9" s="19">
        <f>Revenues!S8</f>
        <v>46273.5</v>
      </c>
      <c r="T9" s="18">
        <f>SUM(U9:X9)</f>
        <v>128821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0</v>
      </c>
    </row>
    <row r="10" spans="21:24" ht="12.75" collapsed="1">
      <c r="U10" s="45"/>
      <c r="V10" s="45"/>
      <c r="W10" s="45"/>
      <c r="X10" s="45"/>
    </row>
    <row r="11" spans="1:24" ht="12.75">
      <c r="A11" s="13" t="s">
        <v>101</v>
      </c>
      <c r="B11" s="23">
        <f>B7/B9</f>
        <v>0.18908800785565238</v>
      </c>
      <c r="C11" s="23">
        <f aca="true" t="shared" si="1" ref="C11:M11">C7/C9</f>
        <v>0.18739179476417814</v>
      </c>
      <c r="D11" s="23">
        <f t="shared" si="1"/>
        <v>0.14990527654436034</v>
      </c>
      <c r="E11" s="23">
        <f t="shared" si="1"/>
        <v>0.14686491427964218</v>
      </c>
      <c r="F11" s="38">
        <f t="shared" si="1"/>
        <v>0.0667426780291123</v>
      </c>
      <c r="G11" s="38">
        <f t="shared" si="1"/>
        <v>0.27219067790559043</v>
      </c>
      <c r="H11" s="38">
        <f>H7/H9</f>
        <v>0.10314223527671534</v>
      </c>
      <c r="I11" s="38">
        <f>I7/I9</f>
        <v>0.1432515337423313</v>
      </c>
      <c r="J11" s="23">
        <f>J7/J9</f>
        <v>0.12179676480841624</v>
      </c>
      <c r="K11" s="38">
        <f t="shared" si="1"/>
        <v>0.12249960513968763</v>
      </c>
      <c r="L11" s="38">
        <f t="shared" si="1"/>
        <v>0.12770362558135515</v>
      </c>
      <c r="M11" s="38">
        <f t="shared" si="1"/>
        <v>0.11120228107243225</v>
      </c>
      <c r="N11" s="38">
        <f>N7/N9</f>
        <v>0.12609538424262004</v>
      </c>
      <c r="O11" s="23">
        <f>O7/O9</f>
        <v>0.11199988499508362</v>
      </c>
      <c r="P11" s="38">
        <f>P7/P9</f>
        <v>0.053800983970798286</v>
      </c>
      <c r="Q11" s="38">
        <f>Q7/Q9</f>
        <v>0.0393049602648441</v>
      </c>
      <c r="R11" s="38">
        <f>R7/R9</f>
        <v>0.09510753497378237</v>
      </c>
      <c r="S11" s="38">
        <f>S7/S9</f>
        <v>0.2608836591137476</v>
      </c>
      <c r="T11" s="23">
        <f>T7/T9</f>
        <v>0.08431855054688288</v>
      </c>
      <c r="U11" s="38">
        <f>U7/U9</f>
        <v>0.048508761750029016</v>
      </c>
      <c r="V11" s="38">
        <f>V7/V9</f>
        <v>0.08946021405304792</v>
      </c>
      <c r="W11" s="38">
        <f>W7/W9</f>
        <v>0.11523528861446347</v>
      </c>
      <c r="X11" s="38" t="e">
        <f>X7/X9</f>
        <v>#DIV/0!</v>
      </c>
    </row>
    <row r="13" spans="12:13" ht="12.75">
      <c r="L13" s="38"/>
      <c r="M13" s="67"/>
    </row>
    <row r="18" spans="6:8" ht="12.75">
      <c r="F18" s="19"/>
      <c r="G18" s="19"/>
      <c r="H18" s="19"/>
    </row>
    <row r="19" spans="6:8" ht="12.75">
      <c r="F19" s="68"/>
      <c r="G19" s="68"/>
      <c r="H19" s="19"/>
    </row>
    <row r="20" spans="6:8" ht="12.75">
      <c r="F20" s="67"/>
      <c r="H20" s="19"/>
    </row>
    <row r="21" ht="12.75">
      <c r="H21" s="19"/>
    </row>
    <row r="22" spans="6:8" ht="12.75">
      <c r="F22" s="19"/>
      <c r="G22" s="21"/>
      <c r="H22" s="19"/>
    </row>
    <row r="23" spans="6:8" ht="12.75">
      <c r="F23" s="69"/>
      <c r="G23" s="70"/>
      <c r="H23" s="67"/>
    </row>
    <row r="24" ht="12.75">
      <c r="F24" s="6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Shol</dc:creator>
  <cp:keywords/>
  <dc:description/>
  <cp:lastModifiedBy>Chingiz Turgunbayev</cp:lastModifiedBy>
  <cp:lastPrinted>2015-07-10T13:27:09Z</cp:lastPrinted>
  <dcterms:created xsi:type="dcterms:W3CDTF">2013-01-30T05:33:18Z</dcterms:created>
  <dcterms:modified xsi:type="dcterms:W3CDTF">2015-10-23T04:47:55Z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