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240" windowWidth="6660" windowHeight="1950" tabRatio="770" activeTab="1"/>
  </bookViews>
  <sheets>
    <sheet name="Index" sheetId="1" r:id="rId1"/>
    <sheet name="Operational Data" sheetId="2" r:id="rId2"/>
    <sheet name="Financial highlights" sheetId="3" r:id="rId3"/>
    <sheet name="Revenues" sheetId="4" r:id="rId4"/>
    <sheet name="Comprehensive Income" sheetId="5" r:id="rId5"/>
    <sheet name="Financial Position" sheetId="6" r:id="rId6"/>
    <sheet name="Cash Flows" sheetId="7" r:id="rId7"/>
    <sheet name="Investments" sheetId="8" r:id="rId8"/>
  </sheets>
  <calcPr calcId="145621"/>
</workbook>
</file>

<file path=xl/calcChain.xml><?xml version="1.0" encoding="utf-8"?>
<calcChain xmlns="http://schemas.openxmlformats.org/spreadsheetml/2006/main">
  <c r="AH9" i="8" l="1"/>
  <c r="AD9" i="8" s="1"/>
  <c r="AG9" i="8"/>
  <c r="AF9" i="8"/>
  <c r="AE9" i="8"/>
  <c r="AH7" i="8"/>
  <c r="AH11" i="8" s="1"/>
  <c r="AG7" i="8"/>
  <c r="AG11" i="8" s="1"/>
  <c r="AF7" i="8"/>
  <c r="AF11" i="8" s="1"/>
  <c r="AE7" i="8"/>
  <c r="AD6" i="8"/>
  <c r="AD5" i="8"/>
  <c r="AE15" i="7"/>
  <c r="AD18" i="7"/>
  <c r="AD15" i="7"/>
  <c r="AD12" i="7"/>
  <c r="AH10" i="7"/>
  <c r="AG10" i="7"/>
  <c r="AF10" i="7"/>
  <c r="AE10" i="7"/>
  <c r="AD7" i="7"/>
  <c r="AD10" i="7" s="1"/>
  <c r="AH6" i="7"/>
  <c r="AH8" i="7" s="1"/>
  <c r="AH11" i="7" s="1"/>
  <c r="AH13" i="7" s="1"/>
  <c r="AH17" i="7" s="1"/>
  <c r="AG6" i="7"/>
  <c r="AG8" i="7" s="1"/>
  <c r="AG11" i="7" s="1"/>
  <c r="AG17" i="7" s="1"/>
  <c r="AF6" i="7"/>
  <c r="AF8" i="7" s="1"/>
  <c r="AF11" i="7" s="1"/>
  <c r="AF17" i="7" s="1"/>
  <c r="AE6" i="7"/>
  <c r="AE8" i="7" s="1"/>
  <c r="AE11" i="7" s="1"/>
  <c r="AE13" i="7" s="1"/>
  <c r="AE17" i="7" s="1"/>
  <c r="AD5" i="7"/>
  <c r="AD4" i="7"/>
  <c r="V27" i="6"/>
  <c r="V24" i="6"/>
  <c r="V20" i="6"/>
  <c r="V14" i="6"/>
  <c r="V10" i="6"/>
  <c r="AH24" i="5"/>
  <c r="AG24" i="5"/>
  <c r="AF24" i="5"/>
  <c r="AD19" i="5"/>
  <c r="AD13" i="5"/>
  <c r="AD11" i="5"/>
  <c r="AD9" i="5"/>
  <c r="AD8" i="5"/>
  <c r="AD7" i="5"/>
  <c r="AH6" i="5"/>
  <c r="AH10" i="5" s="1"/>
  <c r="AG6" i="5"/>
  <c r="AG10" i="5" s="1"/>
  <c r="AF6" i="5"/>
  <c r="AF10" i="5" s="1"/>
  <c r="AE6" i="5"/>
  <c r="AE10" i="5" s="1"/>
  <c r="AD5" i="5"/>
  <c r="AD4" i="5"/>
  <c r="AD7" i="4"/>
  <c r="AD6" i="4"/>
  <c r="AD5" i="4"/>
  <c r="AD4" i="4"/>
  <c r="AE8" i="3"/>
  <c r="AD14" i="3"/>
  <c r="AD11" i="3"/>
  <c r="AD12" i="3" s="1"/>
  <c r="AD10" i="3"/>
  <c r="AD9" i="3"/>
  <c r="AD7" i="3"/>
  <c r="AD6" i="3"/>
  <c r="AD5" i="3"/>
  <c r="AD9" i="2"/>
  <c r="AD5" i="2"/>
  <c r="AD4" i="2"/>
  <c r="AD8" i="2"/>
  <c r="AD7" i="2"/>
  <c r="AD6" i="2"/>
  <c r="AD7" i="8" l="1"/>
  <c r="AD11" i="8" s="1"/>
  <c r="AD13" i="3" s="1"/>
  <c r="AE11" i="8"/>
  <c r="AD6" i="7"/>
  <c r="AD8" i="7" s="1"/>
  <c r="AD11" i="7" s="1"/>
  <c r="AD13" i="7" s="1"/>
  <c r="AD17" i="7" s="1"/>
  <c r="AD19" i="7" s="1"/>
  <c r="AE19" i="7"/>
  <c r="AF19" i="7" s="1"/>
  <c r="AG19" i="7" s="1"/>
  <c r="AH19" i="7" s="1"/>
  <c r="V28" i="6"/>
  <c r="V29" i="6" s="1"/>
  <c r="V15" i="6"/>
  <c r="AD6" i="5"/>
  <c r="AD10" i="5" s="1"/>
  <c r="AG21" i="5"/>
  <c r="AG12" i="5"/>
  <c r="AG14" i="5" s="1"/>
  <c r="AG16" i="5" s="1"/>
  <c r="AH12" i="5"/>
  <c r="AH14" i="5" s="1"/>
  <c r="AH16" i="5" s="1"/>
  <c r="AH21" i="5"/>
  <c r="AE21" i="5"/>
  <c r="AE12" i="5"/>
  <c r="AE14" i="5" s="1"/>
  <c r="AE16" i="5" s="1"/>
  <c r="AF21" i="5"/>
  <c r="AF12" i="5"/>
  <c r="AF14" i="5" s="1"/>
  <c r="AF16" i="5" s="1"/>
  <c r="AD8" i="4"/>
  <c r="AD8" i="3"/>
  <c r="AE8" i="4"/>
  <c r="V30" i="6" l="1"/>
  <c r="AD12" i="5"/>
  <c r="AD14" i="5" s="1"/>
  <c r="AD16" i="5" s="1"/>
  <c r="AD21" i="5"/>
  <c r="AD22" i="5" s="1"/>
  <c r="AE22" i="5"/>
  <c r="AG26" i="5"/>
  <c r="AG27" i="5" s="1"/>
  <c r="AG22" i="5"/>
  <c r="AH26" i="5"/>
  <c r="AH27" i="5" s="1"/>
  <c r="AH22" i="5"/>
  <c r="AF22" i="5"/>
  <c r="AF26" i="5"/>
  <c r="AF27" i="5" s="1"/>
  <c r="U27" i="6"/>
  <c r="U24" i="6"/>
  <c r="U20" i="6"/>
  <c r="U14" i="6"/>
  <c r="U10" i="6"/>
  <c r="AC6" i="5"/>
  <c r="AC10" i="5" s="1"/>
  <c r="AC8" i="4"/>
  <c r="AC16" i="3"/>
  <c r="Y9" i="2"/>
  <c r="Y8" i="2"/>
  <c r="Y5" i="2"/>
  <c r="Y4" i="2"/>
  <c r="U28" i="6" l="1"/>
  <c r="U29" i="6" s="1"/>
  <c r="U15" i="6"/>
  <c r="AC12" i="5"/>
  <c r="AC14" i="5" s="1"/>
  <c r="AC16" i="5" s="1"/>
  <c r="AC21" i="5"/>
  <c r="T27" i="6"/>
  <c r="T24" i="6"/>
  <c r="T20" i="6"/>
  <c r="T14" i="6"/>
  <c r="T10" i="6"/>
  <c r="AA14" i="5"/>
  <c r="AB14" i="5"/>
  <c r="AA12" i="5"/>
  <c r="AB12" i="5"/>
  <c r="AB10" i="5"/>
  <c r="AB21" i="5" s="1"/>
  <c r="AB26" i="5" s="1"/>
  <c r="AB27" i="5" s="1"/>
  <c r="AA10" i="5"/>
  <c r="AA6" i="5"/>
  <c r="AB6" i="5"/>
  <c r="AB8" i="4"/>
  <c r="AB24" i="5"/>
  <c r="AB16" i="5"/>
  <c r="U30" i="6" l="1"/>
  <c r="AC22" i="5"/>
  <c r="AC26" i="5"/>
  <c r="AC27" i="5" s="1"/>
  <c r="T28" i="6"/>
  <c r="T29" i="6" s="1"/>
  <c r="T15" i="6"/>
  <c r="AB22" i="5"/>
  <c r="Y7" i="2"/>
  <c r="T30" i="6" l="1"/>
  <c r="AA24" i="5" l="1"/>
  <c r="AC9" i="8"/>
  <c r="AB9" i="8"/>
  <c r="AA9" i="8"/>
  <c r="Z9" i="8"/>
  <c r="AC7" i="8"/>
  <c r="AB7" i="8"/>
  <c r="AA7" i="8"/>
  <c r="AA11" i="8" s="1"/>
  <c r="Z7" i="8"/>
  <c r="Z11" i="8" s="1"/>
  <c r="Y6" i="8"/>
  <c r="Y5" i="8"/>
  <c r="Z15" i="7"/>
  <c r="AC11" i="8" l="1"/>
  <c r="AB11" i="8"/>
  <c r="Y9" i="8"/>
  <c r="Y7" i="8"/>
  <c r="Y11" i="8" l="1"/>
  <c r="AB6" i="7"/>
  <c r="AB8" i="7" s="1"/>
  <c r="AB11" i="7" s="1"/>
  <c r="AB13" i="7" s="1"/>
  <c r="AB17" i="7" s="1"/>
  <c r="AC6" i="7"/>
  <c r="AC8" i="7" s="1"/>
  <c r="AC11" i="7" s="1"/>
  <c r="AC13" i="7" s="1"/>
  <c r="AC17" i="7" s="1"/>
  <c r="AB10" i="7"/>
  <c r="AC10" i="7"/>
  <c r="Y18" i="7"/>
  <c r="Y15" i="7"/>
  <c r="Y12" i="7"/>
  <c r="AA10" i="7"/>
  <c r="Z10" i="7"/>
  <c r="Y7" i="7"/>
  <c r="Y10" i="7" s="1"/>
  <c r="AA6" i="7"/>
  <c r="AA8" i="7" s="1"/>
  <c r="AA11" i="7" s="1"/>
  <c r="AA13" i="7" s="1"/>
  <c r="AA17" i="7" s="1"/>
  <c r="Z6" i="7"/>
  <c r="Z8" i="7" s="1"/>
  <c r="Z11" i="7" s="1"/>
  <c r="Z13" i="7" s="1"/>
  <c r="Z17" i="7" s="1"/>
  <c r="Y5" i="7"/>
  <c r="Y4" i="7"/>
  <c r="R10" i="6"/>
  <c r="S10" i="6"/>
  <c r="S27" i="6"/>
  <c r="S24" i="6"/>
  <c r="S20" i="6"/>
  <c r="S14" i="6"/>
  <c r="AA8" i="4"/>
  <c r="Y6" i="7" l="1"/>
  <c r="Y8" i="7" s="1"/>
  <c r="Y11" i="7" s="1"/>
  <c r="Y13" i="7" s="1"/>
  <c r="Y17" i="7" s="1"/>
  <c r="Y19" i="7" s="1"/>
  <c r="Z19" i="7" s="1"/>
  <c r="AA15" i="7" s="1"/>
  <c r="AA19" i="7" s="1"/>
  <c r="AB15" i="7" s="1"/>
  <c r="AB19" i="7" s="1"/>
  <c r="AC15" i="7" s="1"/>
  <c r="AC19" i="7" s="1"/>
  <c r="S28" i="6"/>
  <c r="S29" i="6" s="1"/>
  <c r="S15" i="6"/>
  <c r="AA21" i="5"/>
  <c r="AA16" i="5"/>
  <c r="S30" i="6" l="1"/>
  <c r="AA26" i="5"/>
  <c r="AA27" i="5" s="1"/>
  <c r="AA22" i="5"/>
  <c r="Y6" i="2" l="1"/>
  <c r="R27" i="6" l="1"/>
  <c r="R28" i="6" s="1"/>
  <c r="R29" i="6" s="1"/>
  <c r="R24" i="6"/>
  <c r="R20" i="6"/>
  <c r="R14" i="6"/>
  <c r="R15" i="6"/>
  <c r="V11" i="5"/>
  <c r="V9" i="5"/>
  <c r="Y19" i="5"/>
  <c r="Y13" i="5"/>
  <c r="Y11" i="5"/>
  <c r="Y9" i="5"/>
  <c r="Y8" i="5"/>
  <c r="Y7" i="5"/>
  <c r="Z6" i="5"/>
  <c r="Z10" i="5" s="1"/>
  <c r="Y5" i="5"/>
  <c r="Y4" i="5"/>
  <c r="Y4" i="4"/>
  <c r="Z8" i="4"/>
  <c r="Y7" i="4"/>
  <c r="Y6" i="4"/>
  <c r="Y5" i="4"/>
  <c r="R30" i="6" l="1"/>
  <c r="Y6" i="5"/>
  <c r="Y10" i="5" s="1"/>
  <c r="Y21" i="5" s="1"/>
  <c r="Y22" i="5" s="1"/>
  <c r="Z21" i="5"/>
  <c r="Z12" i="5"/>
  <c r="Z14" i="5" s="1"/>
  <c r="Z16" i="5" s="1"/>
  <c r="Y8" i="4"/>
  <c r="Y12" i="5" l="1"/>
  <c r="Y14" i="5" s="1"/>
  <c r="Y16" i="5" s="1"/>
  <c r="Z22" i="5"/>
  <c r="Y14" i="3" l="1"/>
  <c r="Y13" i="3"/>
  <c r="Y11" i="3"/>
  <c r="Y12" i="3" s="1"/>
  <c r="Y10" i="3"/>
  <c r="Y9" i="3"/>
  <c r="Y7" i="3"/>
  <c r="Y6" i="3"/>
  <c r="Y5" i="3"/>
  <c r="Y8" i="3" l="1"/>
  <c r="Q10" i="6"/>
  <c r="G10" i="6"/>
  <c r="T7" i="2" l="1"/>
  <c r="T9" i="2"/>
  <c r="T8" i="2"/>
  <c r="T6" i="2"/>
  <c r="T5" i="2"/>
  <c r="T4" i="2"/>
  <c r="L30" i="6" l="1"/>
  <c r="M30" i="6"/>
  <c r="P30" i="6"/>
  <c r="T4" i="4"/>
  <c r="V9" i="3"/>
  <c r="V7" i="3"/>
  <c r="W8" i="3" l="1"/>
  <c r="T6" i="3"/>
  <c r="V12" i="3" l="1"/>
  <c r="V8" i="3"/>
  <c r="P13" i="3" l="1"/>
  <c r="Q13" i="3"/>
  <c r="R13" i="3"/>
  <c r="S13" i="3"/>
  <c r="O13" i="3"/>
  <c r="U9" i="8"/>
  <c r="X7" i="8"/>
  <c r="W7" i="8"/>
  <c r="V7" i="8"/>
  <c r="U7" i="8"/>
  <c r="T6" i="8"/>
  <c r="T5" i="8"/>
  <c r="T18" i="7"/>
  <c r="U19" i="7"/>
  <c r="T12" i="7"/>
  <c r="X10" i="7"/>
  <c r="W10" i="7"/>
  <c r="V10" i="7"/>
  <c r="U10" i="7"/>
  <c r="T7" i="7"/>
  <c r="T10" i="7" s="1"/>
  <c r="X6" i="7"/>
  <c r="X8" i="7" s="1"/>
  <c r="X11" i="7" s="1"/>
  <c r="X13" i="7" s="1"/>
  <c r="X17" i="7" s="1"/>
  <c r="W6" i="7"/>
  <c r="W8" i="7" s="1"/>
  <c r="W11" i="7" s="1"/>
  <c r="W13" i="7" s="1"/>
  <c r="W17" i="7" s="1"/>
  <c r="V6" i="7"/>
  <c r="V8" i="7" s="1"/>
  <c r="V11" i="7" s="1"/>
  <c r="V13" i="7" s="1"/>
  <c r="V17" i="7" s="1"/>
  <c r="V19" i="7" s="1"/>
  <c r="U6" i="7"/>
  <c r="U8" i="7" s="1"/>
  <c r="U11" i="7" s="1"/>
  <c r="U13" i="7" s="1"/>
  <c r="U17" i="7" s="1"/>
  <c r="T5" i="7"/>
  <c r="T4" i="7"/>
  <c r="Q27" i="6"/>
  <c r="P27" i="6"/>
  <c r="O27" i="6"/>
  <c r="N27" i="6"/>
  <c r="Q24" i="6"/>
  <c r="P24" i="6"/>
  <c r="O24" i="6"/>
  <c r="N24" i="6"/>
  <c r="Q20" i="6"/>
  <c r="P20" i="6"/>
  <c r="O20" i="6"/>
  <c r="N20" i="6"/>
  <c r="Q14" i="6"/>
  <c r="P14" i="6"/>
  <c r="O14" i="6"/>
  <c r="N14" i="6"/>
  <c r="P10" i="6"/>
  <c r="O10" i="6"/>
  <c r="N10" i="6"/>
  <c r="T24" i="5"/>
  <c r="T16" i="3" s="1"/>
  <c r="T19" i="5"/>
  <c r="T13" i="5"/>
  <c r="T11" i="5"/>
  <c r="T9" i="5"/>
  <c r="T8" i="5"/>
  <c r="T7" i="5"/>
  <c r="X6" i="5"/>
  <c r="X10" i="5" s="1"/>
  <c r="W6" i="5"/>
  <c r="W10" i="5" s="1"/>
  <c r="V6" i="5"/>
  <c r="V10" i="5" s="1"/>
  <c r="U6" i="5"/>
  <c r="U10" i="5" s="1"/>
  <c r="U12" i="5" s="1"/>
  <c r="T5" i="5"/>
  <c r="T4" i="5"/>
  <c r="X8" i="4"/>
  <c r="X9" i="8" s="1"/>
  <c r="W9" i="8"/>
  <c r="V8" i="4"/>
  <c r="V9" i="8" s="1"/>
  <c r="U8" i="4"/>
  <c r="T7" i="4"/>
  <c r="T6" i="4"/>
  <c r="T5" i="4"/>
  <c r="X16" i="3"/>
  <c r="W16" i="3"/>
  <c r="V16" i="3"/>
  <c r="V10" i="3" s="1"/>
  <c r="U16" i="3"/>
  <c r="T14" i="3"/>
  <c r="T11" i="3"/>
  <c r="T12" i="3" s="1"/>
  <c r="T10" i="3"/>
  <c r="T9" i="3"/>
  <c r="T7" i="3"/>
  <c r="T5" i="3"/>
  <c r="O9" i="2"/>
  <c r="O8" i="2"/>
  <c r="O7" i="2"/>
  <c r="O6" i="2"/>
  <c r="O5" i="2"/>
  <c r="O4" i="2"/>
  <c r="J9" i="2"/>
  <c r="J8" i="2"/>
  <c r="J7" i="2"/>
  <c r="J6" i="2"/>
  <c r="J5" i="2"/>
  <c r="J4" i="2"/>
  <c r="X11" i="8" l="1"/>
  <c r="T9" i="8"/>
  <c r="W11" i="8"/>
  <c r="T6" i="7"/>
  <c r="T8" i="7" s="1"/>
  <c r="T11" i="7" s="1"/>
  <c r="T13" i="7" s="1"/>
  <c r="T17" i="7" s="1"/>
  <c r="T19" i="7" s="1"/>
  <c r="V11" i="8"/>
  <c r="T7" i="8"/>
  <c r="U11" i="8"/>
  <c r="U13" i="3" s="1"/>
  <c r="N28" i="6"/>
  <c r="N29" i="6" s="1"/>
  <c r="Q28" i="6"/>
  <c r="Q29" i="6" s="1"/>
  <c r="O28" i="6"/>
  <c r="O29" i="6" s="1"/>
  <c r="O30" i="6" s="1"/>
  <c r="P28" i="6"/>
  <c r="P29" i="6" s="1"/>
  <c r="O15" i="6"/>
  <c r="P15" i="6"/>
  <c r="Q15" i="6"/>
  <c r="N15" i="6"/>
  <c r="T6" i="5"/>
  <c r="T10" i="5" s="1"/>
  <c r="T12" i="5" s="1"/>
  <c r="T14" i="5" s="1"/>
  <c r="T16" i="5" s="1"/>
  <c r="W21" i="5"/>
  <c r="W12" i="5"/>
  <c r="W14" i="5" s="1"/>
  <c r="W16" i="5" s="1"/>
  <c r="X21" i="5"/>
  <c r="X12" i="5"/>
  <c r="X14" i="5" s="1"/>
  <c r="X16" i="5" s="1"/>
  <c r="U21" i="5"/>
  <c r="U14" i="5"/>
  <c r="U16" i="5" s="1"/>
  <c r="V12" i="5"/>
  <c r="V14" i="5" s="1"/>
  <c r="V16" i="5" s="1"/>
  <c r="V21" i="5"/>
  <c r="T8" i="4"/>
  <c r="T8" i="3"/>
  <c r="Q30" i="6" l="1"/>
  <c r="X22" i="5"/>
  <c r="X26" i="5"/>
  <c r="X27" i="5" s="1"/>
  <c r="W22" i="5"/>
  <c r="W26" i="5"/>
  <c r="T11" i="8"/>
  <c r="T13" i="3" s="1"/>
  <c r="V22" i="5"/>
  <c r="V26" i="5"/>
  <c r="V27" i="5" s="1"/>
  <c r="N30" i="6"/>
  <c r="U22" i="5"/>
  <c r="U26" i="5"/>
  <c r="U27" i="5" s="1"/>
  <c r="T21" i="5"/>
  <c r="W27" i="5" l="1"/>
  <c r="T26" i="5"/>
  <c r="T27" i="5" s="1"/>
  <c r="T22" i="5"/>
  <c r="H16" i="3" l="1"/>
  <c r="I16" i="3"/>
  <c r="J16" i="3"/>
  <c r="K16" i="3"/>
  <c r="L16" i="3"/>
  <c r="M16" i="3"/>
  <c r="N16" i="3"/>
  <c r="O16" i="3"/>
  <c r="P16" i="3"/>
  <c r="Q16" i="3"/>
  <c r="R16" i="3"/>
  <c r="S16" i="3"/>
  <c r="G16" i="3"/>
  <c r="O12" i="7"/>
  <c r="O7" i="7"/>
  <c r="O5" i="7"/>
  <c r="O4" i="7"/>
  <c r="O19" i="5" l="1"/>
  <c r="O13" i="5"/>
  <c r="O11" i="5"/>
  <c r="O8" i="5"/>
  <c r="O9" i="5"/>
  <c r="O7" i="5"/>
  <c r="O5" i="5"/>
  <c r="O4" i="5"/>
  <c r="O14" i="3" l="1"/>
  <c r="O11" i="3"/>
  <c r="O10" i="3"/>
  <c r="O9" i="3"/>
  <c r="O7" i="3"/>
  <c r="O5" i="3"/>
  <c r="R15" i="7"/>
  <c r="L27" i="6"/>
  <c r="M27" i="6"/>
  <c r="L24" i="6"/>
  <c r="M24" i="6"/>
  <c r="L20" i="6"/>
  <c r="M20" i="6"/>
  <c r="L14" i="6"/>
  <c r="L15" i="6" s="1"/>
  <c r="M14" i="6"/>
  <c r="L10" i="6"/>
  <c r="M10" i="6"/>
  <c r="R8" i="4"/>
  <c r="R9" i="8" s="1"/>
  <c r="M28" i="6" l="1"/>
  <c r="M29" i="6" s="1"/>
  <c r="M15" i="6"/>
  <c r="O8" i="3"/>
  <c r="L28" i="6"/>
  <c r="L29" i="6" s="1"/>
  <c r="O15" i="7"/>
  <c r="Q15" i="7"/>
  <c r="O12" i="3"/>
  <c r="O24" i="5"/>
  <c r="J12" i="7"/>
  <c r="J7" i="7"/>
  <c r="J5" i="7"/>
  <c r="J4" i="7"/>
  <c r="K27" i="6"/>
  <c r="J27" i="6"/>
  <c r="K24" i="6"/>
  <c r="J24" i="6"/>
  <c r="K20" i="6"/>
  <c r="J20" i="6"/>
  <c r="K14" i="6"/>
  <c r="J14" i="6"/>
  <c r="K10" i="6"/>
  <c r="J10" i="6"/>
  <c r="J16" i="5"/>
  <c r="J14" i="5"/>
  <c r="J12" i="5"/>
  <c r="J10" i="5"/>
  <c r="J6" i="5"/>
  <c r="J24" i="5"/>
  <c r="J26" i="5" s="1"/>
  <c r="J27" i="5" s="1"/>
  <c r="J22" i="5"/>
  <c r="J21" i="5"/>
  <c r="J19" i="5"/>
  <c r="J5" i="5"/>
  <c r="J7" i="5"/>
  <c r="J8" i="5"/>
  <c r="J9" i="5"/>
  <c r="J11" i="5"/>
  <c r="J13" i="5"/>
  <c r="J15" i="5"/>
  <c r="J4" i="5"/>
  <c r="S6" i="5"/>
  <c r="S10" i="5" s="1"/>
  <c r="N6" i="5"/>
  <c r="N10" i="5" s="1"/>
  <c r="N21" i="5" s="1"/>
  <c r="N22" i="5" s="1"/>
  <c r="P6" i="5"/>
  <c r="P10" i="5" s="1"/>
  <c r="P12" i="5" s="1"/>
  <c r="P14" i="5" s="1"/>
  <c r="P16" i="5" s="1"/>
  <c r="Q6" i="5"/>
  <c r="Q10" i="5" s="1"/>
  <c r="Q21" i="5" s="1"/>
  <c r="Q22" i="5" s="1"/>
  <c r="R6" i="5"/>
  <c r="R10" i="5" s="1"/>
  <c r="J12" i="3"/>
  <c r="J14" i="3"/>
  <c r="J11" i="3"/>
  <c r="J10" i="3"/>
  <c r="J9" i="3"/>
  <c r="J7" i="3"/>
  <c r="M15" i="7"/>
  <c r="H27" i="6"/>
  <c r="H28" i="6"/>
  <c r="H24" i="6"/>
  <c r="H20" i="6"/>
  <c r="H14" i="6"/>
  <c r="H10" i="6"/>
  <c r="H15" i="6" s="1"/>
  <c r="L15" i="7"/>
  <c r="K15" i="7"/>
  <c r="C15" i="7"/>
  <c r="D15" i="7"/>
  <c r="H15" i="7"/>
  <c r="G15" i="7"/>
  <c r="F19" i="7"/>
  <c r="G19" i="7"/>
  <c r="E19" i="7"/>
  <c r="F15" i="7"/>
  <c r="F27" i="6"/>
  <c r="F24" i="6"/>
  <c r="F20" i="6"/>
  <c r="F14" i="6"/>
  <c r="F10" i="6"/>
  <c r="I12" i="6"/>
  <c r="I13" i="6"/>
  <c r="G17" i="7"/>
  <c r="E17" i="7"/>
  <c r="G13" i="7"/>
  <c r="G11" i="7"/>
  <c r="E11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C6" i="7"/>
  <c r="D6" i="7"/>
  <c r="E6" i="7"/>
  <c r="F6" i="7"/>
  <c r="F8" i="7" s="1"/>
  <c r="F11" i="7" s="1"/>
  <c r="F13" i="7" s="1"/>
  <c r="F17" i="7" s="1"/>
  <c r="G6" i="7"/>
  <c r="G8" i="7" s="1"/>
  <c r="H6" i="7"/>
  <c r="H8" i="7" s="1"/>
  <c r="H11" i="7" s="1"/>
  <c r="H13" i="7" s="1"/>
  <c r="H17" i="7" s="1"/>
  <c r="H19" i="7" s="1"/>
  <c r="I15" i="7" s="1"/>
  <c r="I6" i="7"/>
  <c r="I8" i="7" s="1"/>
  <c r="I11" i="7" s="1"/>
  <c r="I13" i="7" s="1"/>
  <c r="I17" i="7" s="1"/>
  <c r="J6" i="7"/>
  <c r="K6" i="7"/>
  <c r="K8" i="7" s="1"/>
  <c r="K11" i="7" s="1"/>
  <c r="K13" i="7" s="1"/>
  <c r="K17" i="7" s="1"/>
  <c r="L6" i="7"/>
  <c r="L8" i="7" s="1"/>
  <c r="L11" i="7" s="1"/>
  <c r="L13" i="7" s="1"/>
  <c r="L17" i="7" s="1"/>
  <c r="L19" i="7" s="1"/>
  <c r="M6" i="7"/>
  <c r="M8" i="7" s="1"/>
  <c r="M11" i="7" s="1"/>
  <c r="M13" i="7" s="1"/>
  <c r="M17" i="7" s="1"/>
  <c r="M19" i="7" s="1"/>
  <c r="N15" i="7" s="1"/>
  <c r="N6" i="7"/>
  <c r="N8" i="7" s="1"/>
  <c r="N11" i="7" s="1"/>
  <c r="N13" i="7" s="1"/>
  <c r="N17" i="7" s="1"/>
  <c r="P6" i="7"/>
  <c r="P8" i="7" s="1"/>
  <c r="P11" i="7" s="1"/>
  <c r="P13" i="7" s="1"/>
  <c r="P17" i="7" s="1"/>
  <c r="Q6" i="7"/>
  <c r="Q8" i="7" s="1"/>
  <c r="Q11" i="7" s="1"/>
  <c r="Q13" i="7" s="1"/>
  <c r="Q17" i="7" s="1"/>
  <c r="Q19" i="7" s="1"/>
  <c r="R6" i="7"/>
  <c r="R8" i="7" s="1"/>
  <c r="R11" i="7" s="1"/>
  <c r="R13" i="7" s="1"/>
  <c r="R17" i="7" s="1"/>
  <c r="R19" i="7" s="1"/>
  <c r="S15" i="7" s="1"/>
  <c r="S6" i="7"/>
  <c r="S8" i="7" s="1"/>
  <c r="S11" i="7" s="1"/>
  <c r="S13" i="7" s="1"/>
  <c r="S17" i="7" s="1"/>
  <c r="B6" i="7"/>
  <c r="G14" i="6"/>
  <c r="G20" i="6"/>
  <c r="G24" i="6"/>
  <c r="G27" i="6"/>
  <c r="J15" i="7"/>
  <c r="E13" i="7"/>
  <c r="J8" i="7"/>
  <c r="J11" i="7" s="1"/>
  <c r="J13" i="7" s="1"/>
  <c r="J17" i="7" s="1"/>
  <c r="E8" i="7"/>
  <c r="C20" i="7"/>
  <c r="D20" i="7"/>
  <c r="E20" i="7"/>
  <c r="B20" i="7"/>
  <c r="I24" i="6"/>
  <c r="E27" i="6"/>
  <c r="C27" i="6"/>
  <c r="D27" i="6"/>
  <c r="I27" i="6"/>
  <c r="I28" i="6" s="1"/>
  <c r="B27" i="6"/>
  <c r="C24" i="6"/>
  <c r="D24" i="6"/>
  <c r="E24" i="6"/>
  <c r="B24" i="6"/>
  <c r="C20" i="6"/>
  <c r="D20" i="6"/>
  <c r="E20" i="6"/>
  <c r="I20" i="6"/>
  <c r="B20" i="6"/>
  <c r="C14" i="6"/>
  <c r="D14" i="6"/>
  <c r="E14" i="6"/>
  <c r="B14" i="6"/>
  <c r="I10" i="6"/>
  <c r="C10" i="6"/>
  <c r="D10" i="6"/>
  <c r="E10" i="6"/>
  <c r="B10" i="6"/>
  <c r="D21" i="5"/>
  <c r="D26" i="5" s="1"/>
  <c r="D27" i="5" s="1"/>
  <c r="C21" i="5"/>
  <c r="C22" i="5" s="1"/>
  <c r="B21" i="5"/>
  <c r="B22" i="5" s="1"/>
  <c r="S19" i="7" l="1"/>
  <c r="R12" i="5"/>
  <c r="R14" i="5" s="1"/>
  <c r="R16" i="5" s="1"/>
  <c r="R21" i="5"/>
  <c r="O6" i="7"/>
  <c r="O8" i="7" s="1"/>
  <c r="O11" i="7" s="1"/>
  <c r="O13" i="7" s="1"/>
  <c r="O17" i="7" s="1"/>
  <c r="O19" i="7" s="1"/>
  <c r="O6" i="5"/>
  <c r="O10" i="5" s="1"/>
  <c r="O21" i="5" s="1"/>
  <c r="O22" i="5" s="1"/>
  <c r="Q12" i="5"/>
  <c r="Q14" i="5" s="1"/>
  <c r="Q16" i="5" s="1"/>
  <c r="N19" i="7"/>
  <c r="P15" i="7" s="1"/>
  <c r="P19" i="7" s="1"/>
  <c r="P21" i="5"/>
  <c r="P22" i="5" s="1"/>
  <c r="I19" i="7"/>
  <c r="J28" i="6"/>
  <c r="J29" i="6" s="1"/>
  <c r="K28" i="6"/>
  <c r="K29" i="6" s="1"/>
  <c r="J15" i="6"/>
  <c r="K15" i="6"/>
  <c r="H29" i="6"/>
  <c r="I14" i="6"/>
  <c r="H30" i="6"/>
  <c r="N12" i="5"/>
  <c r="N14" i="5" s="1"/>
  <c r="N16" i="5" s="1"/>
  <c r="S12" i="5"/>
  <c r="S14" i="5" s="1"/>
  <c r="S16" i="5" s="1"/>
  <c r="S21" i="5"/>
  <c r="S22" i="5" s="1"/>
  <c r="Q26" i="5"/>
  <c r="Q27" i="5" s="1"/>
  <c r="N26" i="5"/>
  <c r="N27" i="5" s="1"/>
  <c r="C15" i="6"/>
  <c r="F15" i="6"/>
  <c r="B15" i="6"/>
  <c r="D15" i="6"/>
  <c r="I15" i="6"/>
  <c r="E15" i="6"/>
  <c r="K19" i="7"/>
  <c r="F28" i="6"/>
  <c r="F29" i="6" s="1"/>
  <c r="F30" i="6" s="1"/>
  <c r="J19" i="7"/>
  <c r="J20" i="7" s="1"/>
  <c r="G15" i="6"/>
  <c r="G28" i="6"/>
  <c r="G29" i="6" s="1"/>
  <c r="B28" i="6"/>
  <c r="B29" i="6" s="1"/>
  <c r="D28" i="6"/>
  <c r="D29" i="6" s="1"/>
  <c r="D30" i="6" s="1"/>
  <c r="E28" i="6"/>
  <c r="E29" i="6" s="1"/>
  <c r="E30" i="6" s="1"/>
  <c r="C28" i="6"/>
  <c r="C29" i="6" s="1"/>
  <c r="C30" i="6" s="1"/>
  <c r="I29" i="6"/>
  <c r="B30" i="6"/>
  <c r="D22" i="5"/>
  <c r="C26" i="5"/>
  <c r="C27" i="5" s="1"/>
  <c r="B26" i="5"/>
  <c r="B27" i="5" s="1"/>
  <c r="S7" i="8"/>
  <c r="R7" i="8"/>
  <c r="R11" i="8" s="1"/>
  <c r="Q7" i="8"/>
  <c r="P7" i="8"/>
  <c r="P11" i="8" s="1"/>
  <c r="Q11" i="8"/>
  <c r="Q9" i="8"/>
  <c r="P9" i="8"/>
  <c r="G30" i="6" l="1"/>
  <c r="T15" i="7"/>
  <c r="U15" i="7"/>
  <c r="V15" i="7" s="1"/>
  <c r="W15" i="7" s="1"/>
  <c r="R26" i="5"/>
  <c r="R27" i="5" s="1"/>
  <c r="R22" i="5"/>
  <c r="O26" i="5"/>
  <c r="O27" i="5" s="1"/>
  <c r="O12" i="5"/>
  <c r="O14" i="5" s="1"/>
  <c r="O16" i="5" s="1"/>
  <c r="J30" i="6"/>
  <c r="P26" i="5"/>
  <c r="P27" i="5" s="1"/>
  <c r="K30" i="6"/>
  <c r="S26" i="5"/>
  <c r="S27" i="5" s="1"/>
  <c r="I30" i="6"/>
  <c r="S8" i="4"/>
  <c r="S9" i="8" s="1"/>
  <c r="S11" i="8" s="1"/>
  <c r="Q8" i="4"/>
  <c r="P8" i="4"/>
  <c r="O7" i="4"/>
  <c r="O6" i="4"/>
  <c r="O5" i="4"/>
  <c r="O4" i="4"/>
  <c r="N8" i="4"/>
  <c r="J7" i="4"/>
  <c r="J6" i="4"/>
  <c r="J5" i="4"/>
  <c r="J4" i="4"/>
  <c r="O7" i="8"/>
  <c r="O6" i="8"/>
  <c r="O5" i="8"/>
  <c r="W19" i="7" l="1"/>
  <c r="X15" i="7" s="1"/>
  <c r="X19" i="7" s="1"/>
  <c r="O9" i="8"/>
  <c r="O11" i="8" s="1"/>
  <c r="J8" i="4"/>
  <c r="O8" i="4"/>
  <c r="N11" i="8"/>
  <c r="N7" i="8" l="1"/>
  <c r="J7" i="8"/>
  <c r="J6" i="8"/>
  <c r="J5" i="8"/>
  <c r="M9" i="8" l="1"/>
  <c r="M11" i="8" s="1"/>
  <c r="K9" i="8"/>
  <c r="K11" i="8" s="1"/>
  <c r="D9" i="8"/>
  <c r="D11" i="8" s="1"/>
  <c r="C9" i="8"/>
  <c r="C11" i="8" s="1"/>
  <c r="B9" i="8"/>
  <c r="B11" i="8" s="1"/>
  <c r="M7" i="8"/>
  <c r="L7" i="8"/>
  <c r="L16" i="5"/>
  <c r="K16" i="5"/>
  <c r="H16" i="5"/>
  <c r="G16" i="5"/>
  <c r="F16" i="5"/>
  <c r="E16" i="5"/>
  <c r="L27" i="5"/>
  <c r="L26" i="5"/>
  <c r="L21" i="5"/>
  <c r="L22" i="5" s="1"/>
  <c r="L6" i="5"/>
  <c r="L10" i="5" s="1"/>
  <c r="L12" i="5" s="1"/>
  <c r="L14" i="5" s="1"/>
  <c r="M6" i="5"/>
  <c r="M10" i="5" s="1"/>
  <c r="K10" i="5"/>
  <c r="K21" i="5" s="1"/>
  <c r="K26" i="5" s="1"/>
  <c r="K6" i="5"/>
  <c r="M5" i="3"/>
  <c r="K5" i="3"/>
  <c r="M8" i="4"/>
  <c r="E7" i="4"/>
  <c r="E6" i="4"/>
  <c r="E5" i="4"/>
  <c r="E4" i="4"/>
  <c r="L8" i="4"/>
  <c r="L5" i="3" s="1"/>
  <c r="J5" i="3" s="1"/>
  <c r="J8" i="3" s="1"/>
  <c r="L9" i="8" l="1"/>
  <c r="L11" i="8" s="1"/>
  <c r="E8" i="4"/>
  <c r="E9" i="8" s="1"/>
  <c r="E11" i="8" s="1"/>
  <c r="J9" i="8"/>
  <c r="J11" i="8" s="1"/>
  <c r="J13" i="3" s="1"/>
  <c r="M21" i="5"/>
  <c r="M12" i="5"/>
  <c r="M14" i="5" s="1"/>
  <c r="M16" i="5" s="1"/>
  <c r="K12" i="5"/>
  <c r="K14" i="5" s="1"/>
  <c r="H7" i="8"/>
  <c r="G7" i="8"/>
  <c r="I7" i="8"/>
  <c r="H10" i="3"/>
  <c r="G10" i="3"/>
  <c r="F27" i="5"/>
  <c r="E27" i="5"/>
  <c r="F26" i="5"/>
  <c r="E26" i="5"/>
  <c r="F21" i="5"/>
  <c r="F22" i="5" s="1"/>
  <c r="K22" i="5"/>
  <c r="E21" i="5"/>
  <c r="E22" i="5"/>
  <c r="M26" i="5" l="1"/>
  <c r="M27" i="5" s="1"/>
  <c r="M22" i="5"/>
  <c r="K27" i="5"/>
  <c r="K7" i="8"/>
  <c r="F7" i="8"/>
  <c r="H6" i="5" l="1"/>
  <c r="H10" i="5" s="1"/>
  <c r="G12" i="5"/>
  <c r="G14" i="5" s="1"/>
  <c r="G10" i="5"/>
  <c r="G21" i="5" s="1"/>
  <c r="G6" i="5"/>
  <c r="I10" i="5"/>
  <c r="I6" i="5"/>
  <c r="E14" i="5"/>
  <c r="F14" i="5"/>
  <c r="F12" i="5"/>
  <c r="F10" i="5"/>
  <c r="F6" i="5"/>
  <c r="H8" i="4"/>
  <c r="G8" i="4"/>
  <c r="F8" i="4"/>
  <c r="K8" i="4"/>
  <c r="I8" i="4"/>
  <c r="I9" i="8" s="1"/>
  <c r="I11" i="8" s="1"/>
  <c r="G9" i="8" l="1"/>
  <c r="G11" i="8" s="1"/>
  <c r="G5" i="3"/>
  <c r="F5" i="3"/>
  <c r="F9" i="8"/>
  <c r="F11" i="8" s="1"/>
  <c r="H5" i="3"/>
  <c r="H9" i="8"/>
  <c r="H11" i="8" s="1"/>
  <c r="I26" i="5"/>
  <c r="I27" i="5" s="1"/>
  <c r="I22" i="5"/>
  <c r="I12" i="5"/>
  <c r="I14" i="5" s="1"/>
  <c r="I16" i="5" s="1"/>
  <c r="H21" i="5"/>
  <c r="H12" i="5"/>
  <c r="H14" i="5" s="1"/>
  <c r="G22" i="5"/>
  <c r="G26" i="5"/>
  <c r="G27" i="5" s="1"/>
  <c r="C7" i="8"/>
  <c r="B7" i="8"/>
  <c r="H22" i="5" l="1"/>
  <c r="H26" i="5"/>
  <c r="H27" i="5" s="1"/>
  <c r="C13" i="3"/>
  <c r="B13" i="3"/>
  <c r="D7" i="8" l="1"/>
  <c r="D13" i="3" s="1"/>
  <c r="E7" i="8"/>
  <c r="E13" i="3" s="1"/>
  <c r="D16" i="5" l="1"/>
  <c r="B16" i="5"/>
  <c r="B12" i="5"/>
  <c r="B6" i="5"/>
  <c r="B10" i="5" s="1"/>
  <c r="C10" i="5"/>
  <c r="C12" i="5" s="1"/>
  <c r="C14" i="5" s="1"/>
  <c r="C16" i="5" s="1"/>
  <c r="C6" i="5"/>
  <c r="B8" i="4"/>
  <c r="C8" i="4"/>
  <c r="D8" i="4"/>
  <c r="Z24" i="5"/>
  <c r="Y24" i="5" s="1"/>
  <c r="Y16" i="3" s="1"/>
  <c r="Z26" i="5" l="1"/>
  <c r="Z27" i="5" l="1"/>
  <c r="Y26" i="5"/>
  <c r="Y27" i="5" s="1"/>
  <c r="AE24" i="5" l="1"/>
  <c r="AE26" i="5" s="1"/>
  <c r="AD26" i="5" l="1"/>
  <c r="AD27" i="5" s="1"/>
  <c r="AE27" i="5"/>
  <c r="AD24" i="5"/>
  <c r="AD16" i="3" s="1"/>
</calcChain>
</file>

<file path=xl/sharedStrings.xml><?xml version="1.0" encoding="utf-8"?>
<sst xmlns="http://schemas.openxmlformats.org/spreadsheetml/2006/main" count="479" uniqueCount="125">
  <si>
    <t>Operational data &amp; Historical Financial Information</t>
  </si>
  <si>
    <t>Index of sheets</t>
  </si>
  <si>
    <t>Page</t>
  </si>
  <si>
    <t>Contact information:</t>
  </si>
  <si>
    <t>Kcell / Investor Relations</t>
  </si>
  <si>
    <t>Irina Shol</t>
  </si>
  <si>
    <t>investor_relations@kcell.kz</t>
  </si>
  <si>
    <t>Operational Data</t>
  </si>
  <si>
    <t>Operational data</t>
  </si>
  <si>
    <t>not reviewed by auditors</t>
  </si>
  <si>
    <t>2010</t>
  </si>
  <si>
    <t>Full Year</t>
  </si>
  <si>
    <t>2009</t>
  </si>
  <si>
    <t>2012</t>
  </si>
  <si>
    <t>Subscriptions, period-end (thousands)</t>
  </si>
  <si>
    <t>Minutes of use (min/month)</t>
  </si>
  <si>
    <t>ARPU (KZT)</t>
  </si>
  <si>
    <t xml:space="preserve">Churn rate (%) </t>
  </si>
  <si>
    <t>Financial highlights</t>
  </si>
  <si>
    <t>KZT in millions, except key ratios,</t>
  </si>
  <si>
    <t>per share data and changes</t>
  </si>
  <si>
    <t>Revenues</t>
  </si>
  <si>
    <t>Margin (%)</t>
  </si>
  <si>
    <t>Operating income</t>
  </si>
  <si>
    <t>Net income attributable to owners of the parent</t>
  </si>
  <si>
    <t>Earnings per share (KZT)</t>
  </si>
  <si>
    <t>CAPEX-to-sales (%)</t>
  </si>
  <si>
    <t>Free cash flow</t>
  </si>
  <si>
    <t>KZT in millions, except percentages</t>
  </si>
  <si>
    <t>Voice services</t>
  </si>
  <si>
    <t>Data services</t>
  </si>
  <si>
    <t>Value added services</t>
  </si>
  <si>
    <t>Other revenues</t>
  </si>
  <si>
    <t>Total revenues</t>
  </si>
  <si>
    <t>Condensed Consolidated Statements of Comprehensive Income</t>
  </si>
  <si>
    <t>KZT in millions, except per share data, number of shares and changes</t>
  </si>
  <si>
    <t>Cost of sales</t>
  </si>
  <si>
    <t>Gross profit</t>
  </si>
  <si>
    <t>Selling and marketing expenses</t>
  </si>
  <si>
    <t>General and administartive expenses</t>
  </si>
  <si>
    <t>Other operating income and expenses, net</t>
  </si>
  <si>
    <t>Finance costs and other financial items, net</t>
  </si>
  <si>
    <t>Income after financial items</t>
  </si>
  <si>
    <t>Income taxes</t>
  </si>
  <si>
    <t>Net income</t>
  </si>
  <si>
    <t>Other comprehensive income</t>
  </si>
  <si>
    <t>Total comprehensive income</t>
  </si>
  <si>
    <t>Condensed Consolidated Statements of Financial Position</t>
  </si>
  <si>
    <t>KZT in millions</t>
  </si>
  <si>
    <t>Assets</t>
  </si>
  <si>
    <t>Intangible assets</t>
  </si>
  <si>
    <t>Property, plant and equipment</t>
  </si>
  <si>
    <t>Other non-current assets</t>
  </si>
  <si>
    <t>Total non-current assets</t>
  </si>
  <si>
    <t>Inventories</t>
  </si>
  <si>
    <t>Trade and other receivables</t>
  </si>
  <si>
    <t>Cash and cash equivalents</t>
  </si>
  <si>
    <t>Total current assets</t>
  </si>
  <si>
    <t>Total assets</t>
  </si>
  <si>
    <t>Equity and liabilities</t>
  </si>
  <si>
    <t>Share capital</t>
  </si>
  <si>
    <t>Retained earnings</t>
  </si>
  <si>
    <t>Long-term borrowings</t>
  </si>
  <si>
    <t>Deferred tax liabilities</t>
  </si>
  <si>
    <t>Other long-term liabilities</t>
  </si>
  <si>
    <t>Total non-current liabilities</t>
  </si>
  <si>
    <t>Short-term borrowings</t>
  </si>
  <si>
    <t>Total current liabilities</t>
  </si>
  <si>
    <t>Total equity and liabilities</t>
  </si>
  <si>
    <t>Condensed Consolidated Statements of Cash Flows</t>
  </si>
  <si>
    <t>Cash flow before change in working capital</t>
  </si>
  <si>
    <t>Change in working capital</t>
  </si>
  <si>
    <t>Cash flow from operating activities</t>
  </si>
  <si>
    <t>Cash CAPEX</t>
  </si>
  <si>
    <t>Cash flow from other investing activities</t>
  </si>
  <si>
    <t>Total cash flow from investing activities</t>
  </si>
  <si>
    <t>Cash flow before financing activities</t>
  </si>
  <si>
    <t>Cash flow from financing activities</t>
  </si>
  <si>
    <t>Cash flow for the period</t>
  </si>
  <si>
    <t>Cash and cash equivalents, opening balance</t>
  </si>
  <si>
    <t>Change in accounting principle</t>
  </si>
  <si>
    <t>Exchange rate differences</t>
  </si>
  <si>
    <t>Cash and cash equivalents, closing balance</t>
  </si>
  <si>
    <t>Investments</t>
  </si>
  <si>
    <t>CAPEX</t>
  </si>
  <si>
    <t>Total</t>
  </si>
  <si>
    <t>Comprehensive Income</t>
  </si>
  <si>
    <t>Financial Position</t>
  </si>
  <si>
    <t>Cash Flows</t>
  </si>
  <si>
    <t>Total headcount</t>
  </si>
  <si>
    <t>Q1</t>
  </si>
  <si>
    <t>Q2</t>
  </si>
  <si>
    <t>Q3</t>
  </si>
  <si>
    <t>Q4</t>
  </si>
  <si>
    <t>2013</t>
  </si>
  <si>
    <t>Non recurring items</t>
  </si>
  <si>
    <t>DDA</t>
  </si>
  <si>
    <t>EBITDA</t>
  </si>
  <si>
    <t>Non recurring</t>
  </si>
  <si>
    <t>EBITDA excluding non recurring tems</t>
  </si>
  <si>
    <t>Revenue</t>
  </si>
  <si>
    <t>Capex to sales%</t>
  </si>
  <si>
    <t>2014</t>
  </si>
  <si>
    <t xml:space="preserve">Total equity </t>
  </si>
  <si>
    <t>Total liabilities</t>
  </si>
  <si>
    <t>Trade payables and other current liabilities</t>
  </si>
  <si>
    <t>YTD</t>
  </si>
  <si>
    <t>Year-End</t>
  </si>
  <si>
    <t>EBITDA excl. non-recurring items</t>
  </si>
  <si>
    <t>Operating income  excl. non-recurring items</t>
  </si>
  <si>
    <t xml:space="preserve">   of which, pre-paid*</t>
  </si>
  <si>
    <t>*In Q1 2015 the definition of number of mobile prepaid subscriptions has been changed. Prepaid subscriptions are counted if the subscriber has been active during the last three months. Prior periods (2013-2014) have been restated for comparability.</t>
  </si>
  <si>
    <t>2013*</t>
  </si>
  <si>
    <t>2014*</t>
  </si>
  <si>
    <t>2015*</t>
  </si>
  <si>
    <t>2015</t>
  </si>
  <si>
    <t xml:space="preserve">        of which service revenue</t>
  </si>
  <si>
    <t>Q3*</t>
  </si>
  <si>
    <t>*In YTD financials forex gain/loss recognized below EBITDA</t>
  </si>
  <si>
    <t>Tel. +7 727 2582755 ext. 1002</t>
  </si>
  <si>
    <t>Financial aid</t>
  </si>
  <si>
    <t>Long-term receivables</t>
  </si>
  <si>
    <t>2016*</t>
  </si>
  <si>
    <t>2016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</si>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</sst>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-* #,##0\ &quot;kr&quot;_-;\-* #,##0\ &quot;kr&quot;_-;_-* &quot;-&quot;\ &quot;kr&quot;_-;_-@_-"/>
    <numFmt numFmtId="165" formatCode="_-* #,##0\ _k_r_-;\-* #,##0\ _k_r_-;_-* &quot;-&quot;\ _k_r_-;_-@_-"/>
    <numFmt numFmtId="166" formatCode="\ #,##0;[Red]\-#,##0"/>
    <numFmt numFmtId="167" formatCode="_(* #,##0_);_(* \(#,##0\);_(* &quot;-&quot;??_);_(@_)"/>
    <numFmt numFmtId="168" formatCode="0.0%"/>
    <numFmt numFmtId="169" formatCode="_(* #,##0.0_);_(* \(#,##0.0\);_(* &quot;-&quot;??_);_(@_)"/>
    <numFmt numFmtId="170" formatCode="_(* #,##0.000_);_(* \(#,##0.000\);_(* &quot;-&quot;??_);_(@_)"/>
    <numFmt numFmtId="171" formatCode="_(* #,##0.0_);_(* \(#,##0.0\);_(* &quot;-&quot;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Helv"/>
      <charset val="204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Univers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sz val="10"/>
      <color rgb="FF6C6F7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color theme="0" tint="-0.499984740745262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0" tint="-0.49998474074526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166" fontId="5" fillId="2" borderId="0"/>
    <xf numFmtId="0" fontId="8" fillId="0" borderId="0"/>
    <xf numFmtId="0" fontId="4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6">
    <xf numFmtId="0" fontId="0" fillId="0" borderId="0" xfId="0"/>
    <xf numFmtId="0" fontId="7" fillId="0" borderId="0" xfId="1" applyFont="1" applyFill="1"/>
    <xf numFmtId="0" fontId="1" fillId="0" borderId="0" xfId="1"/>
    <xf numFmtId="0" fontId="5" fillId="0" borderId="0" xfId="1" applyFont="1" applyFill="1"/>
    <xf numFmtId="0" fontId="6" fillId="0" borderId="0" xfId="1" applyFont="1" applyFill="1"/>
    <xf numFmtId="0" fontId="5" fillId="0" borderId="0" xfId="1" applyFont="1" applyFill="1"/>
    <xf numFmtId="0" fontId="6" fillId="0" borderId="0" xfId="1" applyFont="1" applyFill="1"/>
    <xf numFmtId="0" fontId="3" fillId="0" borderId="0" xfId="2" applyFill="1" applyAlignment="1" applyProtection="1"/>
    <xf numFmtId="0" fontId="3" fillId="0" borderId="0" xfId="2" quotePrefix="1" applyAlignment="1" applyProtection="1"/>
    <xf numFmtId="0" fontId="3" fillId="0" borderId="0" xfId="2" applyAlignment="1" applyProtection="1"/>
    <xf numFmtId="0" fontId="11" fillId="0" borderId="1" xfId="1" applyFont="1" applyFill="1" applyBorder="1"/>
    <xf numFmtId="0" fontId="11" fillId="0" borderId="4" xfId="1" quotePrefix="1" applyFont="1" applyFill="1" applyBorder="1" applyAlignment="1">
      <alignment horizontal="center"/>
    </xf>
    <xf numFmtId="0" fontId="11" fillId="0" borderId="1" xfId="1" quotePrefix="1" applyFont="1" applyFill="1" applyBorder="1" applyAlignment="1">
      <alignment horizontal="center"/>
    </xf>
    <xf numFmtId="0" fontId="12" fillId="0" borderId="0" xfId="0" applyFont="1" applyFill="1"/>
    <xf numFmtId="0" fontId="13" fillId="0" borderId="2" xfId="1" applyFont="1" applyFill="1" applyBorder="1"/>
    <xf numFmtId="0" fontId="11" fillId="0" borderId="3" xfId="1" applyFont="1" applyFill="1" applyBorder="1" applyAlignment="1">
      <alignment horizontal="right"/>
    </xf>
    <xf numFmtId="0" fontId="11" fillId="0" borderId="2" xfId="1" applyFont="1" applyFill="1" applyBorder="1" applyAlignment="1">
      <alignment horizontal="right"/>
    </xf>
    <xf numFmtId="0" fontId="11" fillId="0" borderId="3" xfId="1" applyFont="1" applyFill="1" applyBorder="1" applyAlignment="1">
      <alignment horizontal="center"/>
    </xf>
    <xf numFmtId="167" fontId="12" fillId="0" borderId="0" xfId="9" applyNumberFormat="1" applyFont="1" applyFill="1"/>
    <xf numFmtId="167" fontId="14" fillId="0" borderId="0" xfId="9" applyNumberFormat="1" applyFont="1" applyFill="1"/>
    <xf numFmtId="167" fontId="12" fillId="0" borderId="0" xfId="0" applyNumberFormat="1" applyFont="1" applyFill="1"/>
    <xf numFmtId="167" fontId="14" fillId="0" borderId="0" xfId="0" applyNumberFormat="1" applyFont="1" applyFill="1"/>
    <xf numFmtId="167" fontId="14" fillId="0" borderId="0" xfId="0" applyNumberFormat="1" applyFont="1" applyFill="1" applyBorder="1"/>
    <xf numFmtId="168" fontId="12" fillId="0" borderId="0" xfId="10" applyNumberFormat="1" applyFont="1" applyFill="1"/>
    <xf numFmtId="168" fontId="14" fillId="0" borderId="0" xfId="10" applyNumberFormat="1" applyFont="1" applyFill="1" applyBorder="1"/>
    <xf numFmtId="167" fontId="12" fillId="0" borderId="0" xfId="9" applyNumberFormat="1" applyFont="1" applyFill="1" applyBorder="1"/>
    <xf numFmtId="9" fontId="12" fillId="0" borderId="0" xfId="10" applyFont="1" applyFill="1"/>
    <xf numFmtId="0" fontId="15" fillId="0" borderId="0" xfId="0" applyFont="1" applyAlignment="1">
      <alignment vertical="center"/>
    </xf>
    <xf numFmtId="0" fontId="16" fillId="0" borderId="1" xfId="0" applyFont="1" applyFill="1" applyBorder="1" applyAlignment="1">
      <alignment vertical="center"/>
    </xf>
    <xf numFmtId="0" fontId="12" fillId="0" borderId="1" xfId="0" applyFont="1" applyFill="1" applyBorder="1"/>
    <xf numFmtId="0" fontId="11" fillId="0" borderId="5" xfId="1" applyFont="1" applyFill="1" applyBorder="1"/>
    <xf numFmtId="0" fontId="11" fillId="0" borderId="5" xfId="1" quotePrefix="1" applyFont="1" applyFill="1" applyBorder="1" applyAlignment="1">
      <alignment horizontal="center"/>
    </xf>
    <xf numFmtId="0" fontId="17" fillId="0" borderId="5" xfId="1" quotePrefix="1" applyFont="1" applyFill="1" applyBorder="1" applyAlignment="1">
      <alignment horizontal="center"/>
    </xf>
    <xf numFmtId="0" fontId="17" fillId="0" borderId="2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167" fontId="18" fillId="0" borderId="0" xfId="9" applyNumberFormat="1" applyFont="1" applyFill="1"/>
    <xf numFmtId="0" fontId="1" fillId="0" borderId="0" xfId="0" applyFont="1" applyFill="1"/>
    <xf numFmtId="168" fontId="18" fillId="0" borderId="0" xfId="10" applyNumberFormat="1" applyFont="1" applyFill="1"/>
    <xf numFmtId="168" fontId="14" fillId="0" borderId="0" xfId="10" applyNumberFormat="1" applyFont="1" applyFill="1"/>
    <xf numFmtId="167" fontId="14" fillId="0" borderId="0" xfId="9" applyNumberFormat="1" applyFont="1" applyFill="1" applyBorder="1"/>
    <xf numFmtId="169" fontId="12" fillId="0" borderId="0" xfId="9" applyNumberFormat="1" applyFont="1" applyFill="1"/>
    <xf numFmtId="169" fontId="18" fillId="0" borderId="0" xfId="9" applyNumberFormat="1" applyFont="1" applyFill="1"/>
    <xf numFmtId="169" fontId="14" fillId="0" borderId="0" xfId="9" applyNumberFormat="1" applyFont="1" applyFill="1" applyBorder="1"/>
    <xf numFmtId="169" fontId="14" fillId="0" borderId="0" xfId="9" applyNumberFormat="1" applyFont="1" applyFill="1"/>
    <xf numFmtId="0" fontId="18" fillId="0" borderId="0" xfId="0" applyFont="1" applyFill="1"/>
    <xf numFmtId="0" fontId="14" fillId="0" borderId="0" xfId="0" applyFont="1" applyFill="1"/>
    <xf numFmtId="170" fontId="12" fillId="0" borderId="0" xfId="9" applyNumberFormat="1" applyFont="1" applyFill="1"/>
    <xf numFmtId="167" fontId="17" fillId="0" borderId="0" xfId="9" applyNumberFormat="1" applyFont="1" applyFill="1"/>
    <xf numFmtId="43" fontId="12" fillId="0" borderId="0" xfId="9" applyNumberFormat="1" applyFont="1" applyFill="1"/>
    <xf numFmtId="10" fontId="12" fillId="0" borderId="0" xfId="10" applyNumberFormat="1" applyFont="1" applyFill="1"/>
    <xf numFmtId="43" fontId="12" fillId="0" borderId="0" xfId="9" applyNumberFormat="1" applyFont="1" applyFill="1" applyBorder="1"/>
    <xf numFmtId="0" fontId="17" fillId="0" borderId="4" xfId="1" quotePrefix="1" applyFont="1" applyFill="1" applyBorder="1" applyAlignment="1">
      <alignment horizontal="center"/>
    </xf>
    <xf numFmtId="0" fontId="17" fillId="0" borderId="3" xfId="1" applyFont="1" applyFill="1" applyBorder="1" applyAlignment="1">
      <alignment horizontal="center"/>
    </xf>
    <xf numFmtId="167" fontId="17" fillId="0" borderId="0" xfId="0" applyNumberFormat="1" applyFont="1" applyFill="1"/>
    <xf numFmtId="167" fontId="18" fillId="0" borderId="0" xfId="0" applyNumberFormat="1" applyFont="1" applyFill="1"/>
    <xf numFmtId="1" fontId="14" fillId="0" borderId="0" xfId="0" applyNumberFormat="1" applyFont="1" applyFill="1"/>
    <xf numFmtId="16" fontId="17" fillId="0" borderId="1" xfId="1" quotePrefix="1" applyNumberFormat="1" applyFont="1" applyFill="1" applyBorder="1" applyAlignment="1">
      <alignment horizontal="center"/>
    </xf>
    <xf numFmtId="14" fontId="17" fillId="0" borderId="2" xfId="1" quotePrefix="1" applyNumberFormat="1" applyFont="1" applyFill="1" applyBorder="1" applyAlignment="1">
      <alignment horizontal="center"/>
    </xf>
    <xf numFmtId="0" fontId="19" fillId="0" borderId="0" xfId="0" applyFont="1" applyFill="1"/>
    <xf numFmtId="167" fontId="19" fillId="0" borderId="0" xfId="9" applyNumberFormat="1" applyFont="1" applyFill="1"/>
    <xf numFmtId="167" fontId="20" fillId="0" borderId="0" xfId="9" applyNumberFormat="1" applyFont="1" applyFill="1"/>
    <xf numFmtId="0" fontId="18" fillId="0" borderId="6" xfId="0" applyFont="1" applyFill="1" applyBorder="1"/>
    <xf numFmtId="167" fontId="18" fillId="0" borderId="7" xfId="9" applyNumberFormat="1" applyFont="1" applyFill="1" applyBorder="1"/>
    <xf numFmtId="167" fontId="17" fillId="0" borderId="7" xfId="9" applyNumberFormat="1" applyFont="1" applyFill="1" applyBorder="1"/>
    <xf numFmtId="0" fontId="21" fillId="0" borderId="0" xfId="0" applyFont="1" applyFill="1"/>
    <xf numFmtId="167" fontId="21" fillId="0" borderId="0" xfId="9" applyNumberFormat="1" applyFont="1" applyFill="1"/>
    <xf numFmtId="167" fontId="22" fillId="0" borderId="0" xfId="9" applyNumberFormat="1" applyFont="1" applyFill="1"/>
    <xf numFmtId="10" fontId="14" fillId="0" borderId="0" xfId="10" applyNumberFormat="1" applyFont="1" applyFill="1"/>
    <xf numFmtId="43" fontId="14" fillId="0" borderId="0" xfId="9" applyFont="1" applyFill="1"/>
    <xf numFmtId="171" fontId="14" fillId="0" borderId="0" xfId="0" applyNumberFormat="1" applyFont="1" applyFill="1"/>
    <xf numFmtId="43" fontId="14" fillId="0" borderId="0" xfId="0" applyNumberFormat="1" applyFont="1" applyFill="1"/>
    <xf numFmtId="0" fontId="21" fillId="0" borderId="0" xfId="0" applyFont="1" applyFill="1" applyAlignment="1">
      <alignment horizontal="left"/>
    </xf>
    <xf numFmtId="168" fontId="14" fillId="0" borderId="0" xfId="10" applyNumberFormat="1" applyFont="1" applyFill="1" applyBorder="1" applyAlignment="1">
      <alignment horizontal="right"/>
    </xf>
    <xf numFmtId="167" fontId="1" fillId="0" borderId="0" xfId="9" applyNumberFormat="1" applyFont="1" applyFill="1"/>
    <xf numFmtId="14" fontId="17" fillId="0" borderId="1" xfId="1" quotePrefix="1" applyNumberFormat="1" applyFont="1" applyFill="1" applyBorder="1" applyAlignment="1">
      <alignment horizontal="center"/>
    </xf>
    <xf numFmtId="168" fontId="12" fillId="0" borderId="0" xfId="0" applyNumberFormat="1" applyFont="1" applyFill="1"/>
  </cellXfs>
  <cellStyles count="11">
    <cellStyle name="Comma" xfId="9" builtinId="3"/>
    <cellStyle name="Hyperlink" xfId="2" builtinId="8"/>
    <cellStyle name="Normal" xfId="0" builtinId="0"/>
    <cellStyle name="Normal 2" xfId="1"/>
    <cellStyle name="Percent" xfId="10" builtinId="5"/>
    <cellStyle name="Percent 2" xfId="3"/>
    <cellStyle name="SDEntry" xfId="4"/>
    <cellStyle name="Standard_Phase II Summary of results &amp; balance sheet 02-05-02" xfId="5"/>
    <cellStyle name="Style 1" xfId="6"/>
    <cellStyle name="Tusental (0)_NK990531" xfId="7"/>
    <cellStyle name="Valuta (0)_NK99053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53340</xdr:rowOff>
    </xdr:from>
    <xdr:to>
      <xdr:col>1</xdr:col>
      <xdr:colOff>364490</xdr:colOff>
      <xdr:row>2</xdr:row>
      <xdr:rowOff>18415</xdr:rowOff>
    </xdr:to>
    <xdr:pic>
      <xdr:nvPicPr>
        <xdr:cNvPr id="2" name="Picture 1" descr="C:\Users\gornil\Pictures\1_Kcell_Full_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53340"/>
          <a:ext cx="928370" cy="3308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vestor_relations@kcell.k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1"/>
  <sheetViews>
    <sheetView workbookViewId="0">
      <selection activeCell="G20" sqref="G20"/>
    </sheetView>
  </sheetViews>
  <sheetFormatPr defaultRowHeight="15"/>
  <sheetData>
    <row r="4" spans="1:6" ht="15.75">
      <c r="A4" s="1" t="s">
        <v>0</v>
      </c>
    </row>
    <row r="6" spans="1:6">
      <c r="A6" s="4" t="s">
        <v>1</v>
      </c>
      <c r="B6" s="2"/>
      <c r="C6" s="3"/>
      <c r="D6" s="3"/>
      <c r="E6" s="3"/>
      <c r="F6" s="4" t="s">
        <v>2</v>
      </c>
    </row>
    <row r="7" spans="1:6">
      <c r="A7" s="8" t="s">
        <v>7</v>
      </c>
      <c r="F7">
        <v>1</v>
      </c>
    </row>
    <row r="8" spans="1:6">
      <c r="A8" s="8" t="s">
        <v>18</v>
      </c>
      <c r="F8">
        <v>2</v>
      </c>
    </row>
    <row r="9" spans="1:6">
      <c r="A9" s="9" t="s">
        <v>21</v>
      </c>
      <c r="F9">
        <v>3</v>
      </c>
    </row>
    <row r="10" spans="1:6">
      <c r="A10" s="8" t="s">
        <v>86</v>
      </c>
      <c r="F10">
        <v>4</v>
      </c>
    </row>
    <row r="11" spans="1:6">
      <c r="A11" s="8" t="s">
        <v>87</v>
      </c>
      <c r="F11">
        <v>5</v>
      </c>
    </row>
    <row r="12" spans="1:6">
      <c r="A12" s="8" t="s">
        <v>88</v>
      </c>
      <c r="F12">
        <v>6</v>
      </c>
    </row>
    <row r="13" spans="1:6">
      <c r="A13" s="9" t="s">
        <v>83</v>
      </c>
      <c r="F13">
        <v>7</v>
      </c>
    </row>
    <row r="16" spans="1:6">
      <c r="A16" s="6" t="s">
        <v>3</v>
      </c>
      <c r="B16" s="5"/>
      <c r="C16" s="5"/>
    </row>
    <row r="17" spans="1:3">
      <c r="A17" s="5"/>
      <c r="B17" s="5"/>
      <c r="C17" s="5"/>
    </row>
    <row r="18" spans="1:3">
      <c r="A18" s="5" t="s">
        <v>4</v>
      </c>
      <c r="B18" s="5"/>
      <c r="C18" s="5"/>
    </row>
    <row r="19" spans="1:3">
      <c r="A19" s="5" t="s">
        <v>5</v>
      </c>
      <c r="B19" s="5"/>
      <c r="C19" s="5"/>
    </row>
    <row r="20" spans="1:3">
      <c r="A20" s="7" t="s">
        <v>6</v>
      </c>
      <c r="B20" s="5"/>
      <c r="C20" s="5"/>
    </row>
    <row r="21" spans="1:3">
      <c r="A21" s="5" t="s">
        <v>119</v>
      </c>
      <c r="B21" s="5"/>
      <c r="C21" s="5"/>
    </row>
  </sheetData>
  <hyperlinks>
    <hyperlink ref="A20" r:id="rId1"/>
    <hyperlink ref="A7" location="'Operational Data'!A1" display="'Operational Data'!A1"/>
    <hyperlink ref="A8" location="'Financial highlights'!A1" display="'Financial highlights"/>
    <hyperlink ref="A9" location="Revenues!A1" display="Revenues"/>
    <hyperlink ref="A10" location="'Comprehensive Income'!A1" display="'Comprehensive Income'!A1"/>
    <hyperlink ref="A11" location="'Financial Position'!A1" display="'Financial Position"/>
    <hyperlink ref="A12" location="'Cash Flows'!A1" display="'Cash Flows"/>
    <hyperlink ref="A13" location="Investments!A1" display="Investments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8"/>
  <sheetViews>
    <sheetView tabSelected="1" zoomScaleNormal="100" workbookViewId="0">
      <pane xSplit="1" ySplit="3" topLeftCell="L4" activePane="bottomRight" state="frozen"/>
      <selection pane="topRight" activeCell="B1" sqref="B1"/>
      <selection pane="bottomLeft" activeCell="A4" sqref="A4"/>
      <selection pane="bottomRight" activeCell="AB23" sqref="AB23"/>
    </sheetView>
  </sheetViews>
  <sheetFormatPr defaultColWidth="8.85546875" defaultRowHeight="12.75" outlineLevelCol="1"/>
  <cols>
    <col min="1" max="1" width="27" style="13" customWidth="1"/>
    <col min="2" max="4" width="10.28515625" style="13" hidden="1" customWidth="1" outlineLevel="1"/>
    <col min="5" max="5" width="10.5703125" style="13" hidden="1" customWidth="1" outlineLevel="1"/>
    <col min="6" max="6" width="9.140625" style="13" hidden="1" customWidth="1" outlineLevel="1"/>
    <col min="7" max="9" width="10.140625" style="13" hidden="1" customWidth="1" outlineLevel="1"/>
    <col min="10" max="10" width="11" style="13" hidden="1" customWidth="1" outlineLevel="1"/>
    <col min="11" max="11" width="0" style="13" hidden="1" customWidth="1" outlineLevel="1"/>
    <col min="12" max="12" width="10.140625" style="13" hidden="1" customWidth="1" outlineLevel="1"/>
    <col min="13" max="13" width="10" style="13" hidden="1" customWidth="1" outlineLevel="1"/>
    <col min="14" max="14" width="11.140625" style="13" hidden="1" customWidth="1" outlineLevel="1"/>
    <col min="15" max="15" width="10.140625" style="13" hidden="1" customWidth="1" outlineLevel="1"/>
    <col min="16" max="17" width="11.140625" style="13" hidden="1" customWidth="1" outlineLevel="1"/>
    <col min="18" max="18" width="10.42578125" style="13" hidden="1" customWidth="1" outlineLevel="1"/>
    <col min="19" max="19" width="10.5703125" style="13" hidden="1" customWidth="1" outlineLevel="1"/>
    <col min="20" max="20" width="9.85546875" style="13" hidden="1" customWidth="1" outlineLevel="1" collapsed="1"/>
    <col min="21" max="22" width="9.140625" style="13" hidden="1" customWidth="1" outlineLevel="1"/>
    <col min="23" max="23" width="10.28515625" style="13" hidden="1" customWidth="1" outlineLevel="1"/>
    <col min="24" max="24" width="0" style="13" hidden="1" customWidth="1" outlineLevel="1"/>
    <col min="25" max="25" width="8.85546875" style="13" collapsed="1"/>
    <col min="26" max="16384" width="8.85546875" style="13"/>
  </cols>
  <sheetData>
    <row r="2" spans="1:34">
      <c r="A2" s="10" t="s">
        <v>8</v>
      </c>
      <c r="B2" s="11" t="s">
        <v>12</v>
      </c>
      <c r="C2" s="11" t="s">
        <v>10</v>
      </c>
      <c r="D2" s="12">
        <v>2011</v>
      </c>
      <c r="E2" s="11" t="s">
        <v>13</v>
      </c>
      <c r="F2" s="11" t="s">
        <v>13</v>
      </c>
      <c r="G2" s="11" t="s">
        <v>13</v>
      </c>
      <c r="H2" s="11" t="s">
        <v>13</v>
      </c>
      <c r="I2" s="11" t="s">
        <v>13</v>
      </c>
      <c r="J2" s="11" t="s">
        <v>112</v>
      </c>
      <c r="K2" s="11" t="s">
        <v>112</v>
      </c>
      <c r="L2" s="11" t="s">
        <v>112</v>
      </c>
      <c r="M2" s="11" t="s">
        <v>112</v>
      </c>
      <c r="N2" s="11" t="s">
        <v>112</v>
      </c>
      <c r="O2" s="11" t="s">
        <v>113</v>
      </c>
      <c r="P2" s="11" t="s">
        <v>113</v>
      </c>
      <c r="Q2" s="11" t="s">
        <v>113</v>
      </c>
      <c r="R2" s="11" t="s">
        <v>113</v>
      </c>
      <c r="S2" s="11" t="s">
        <v>113</v>
      </c>
      <c r="T2" s="11" t="s">
        <v>114</v>
      </c>
      <c r="U2" s="11" t="s">
        <v>114</v>
      </c>
      <c r="V2" s="11" t="s">
        <v>114</v>
      </c>
      <c r="W2" s="11" t="s">
        <v>114</v>
      </c>
      <c r="X2" s="11" t="s">
        <v>114</v>
      </c>
      <c r="Y2" s="11" t="s">
        <v>122</v>
      </c>
      <c r="Z2" s="11" t="s">
        <v>122</v>
      </c>
      <c r="AA2" s="11" t="s">
        <v>122</v>
      </c>
      <c r="AB2" s="11" t="s">
        <v>122</v>
      </c>
      <c r="AC2" s="11" t="s">
        <v>122</v>
      </c>
      <c r="AD2" s="11">
        <v>2017</v>
      </c>
      <c r="AE2" s="11">
        <v>2017</v>
      </c>
      <c r="AF2" s="11">
        <v>2017</v>
      </c>
      <c r="AG2" s="11">
        <v>2017</v>
      </c>
      <c r="AH2" s="11">
        <v>2017</v>
      </c>
    </row>
    <row r="3" spans="1:34">
      <c r="A3" s="14" t="s">
        <v>9</v>
      </c>
      <c r="B3" s="15" t="s">
        <v>11</v>
      </c>
      <c r="C3" s="15" t="s">
        <v>11</v>
      </c>
      <c r="D3" s="16" t="s">
        <v>11</v>
      </c>
      <c r="E3" s="15" t="s">
        <v>11</v>
      </c>
      <c r="F3" s="17" t="s">
        <v>90</v>
      </c>
      <c r="G3" s="17" t="s">
        <v>91</v>
      </c>
      <c r="H3" s="17" t="s">
        <v>92</v>
      </c>
      <c r="I3" s="17" t="s">
        <v>93</v>
      </c>
      <c r="J3" s="15" t="s">
        <v>11</v>
      </c>
      <c r="K3" s="17" t="s">
        <v>90</v>
      </c>
      <c r="L3" s="17" t="s">
        <v>91</v>
      </c>
      <c r="M3" s="17" t="s">
        <v>92</v>
      </c>
      <c r="N3" s="17" t="s">
        <v>93</v>
      </c>
      <c r="O3" s="17" t="s">
        <v>106</v>
      </c>
      <c r="P3" s="17" t="s">
        <v>90</v>
      </c>
      <c r="Q3" s="17" t="s">
        <v>91</v>
      </c>
      <c r="R3" s="17" t="s">
        <v>92</v>
      </c>
      <c r="S3" s="17" t="s">
        <v>93</v>
      </c>
      <c r="T3" s="17" t="s">
        <v>106</v>
      </c>
      <c r="U3" s="17" t="s">
        <v>90</v>
      </c>
      <c r="V3" s="17" t="s">
        <v>91</v>
      </c>
      <c r="W3" s="17" t="s">
        <v>92</v>
      </c>
      <c r="X3" s="17" t="s">
        <v>93</v>
      </c>
      <c r="Y3" s="17" t="s">
        <v>106</v>
      </c>
      <c r="Z3" s="17" t="s">
        <v>90</v>
      </c>
      <c r="AA3" s="17" t="s">
        <v>91</v>
      </c>
      <c r="AB3" s="17" t="s">
        <v>92</v>
      </c>
      <c r="AC3" s="17" t="s">
        <v>93</v>
      </c>
      <c r="AD3" s="17" t="s">
        <v>106</v>
      </c>
      <c r="AE3" s="17" t="s">
        <v>90</v>
      </c>
      <c r="AF3" s="17" t="s">
        <v>91</v>
      </c>
      <c r="AG3" s="17" t="s">
        <v>92</v>
      </c>
      <c r="AH3" s="17" t="s">
        <v>93</v>
      </c>
    </row>
    <row r="4" spans="1:34">
      <c r="A4" s="13" t="s">
        <v>14</v>
      </c>
      <c r="B4" s="18">
        <v>7165</v>
      </c>
      <c r="C4" s="18">
        <v>8922</v>
      </c>
      <c r="D4" s="18">
        <v>10850</v>
      </c>
      <c r="E4" s="18">
        <v>13462.3000875403</v>
      </c>
      <c r="F4" s="19">
        <v>11174</v>
      </c>
      <c r="G4" s="19">
        <v>11691</v>
      </c>
      <c r="H4" s="19">
        <v>12686</v>
      </c>
      <c r="I4" s="19">
        <v>13462</v>
      </c>
      <c r="J4" s="18">
        <f>N4</f>
        <v>12025.96</v>
      </c>
      <c r="K4" s="19">
        <v>11949.996999999999</v>
      </c>
      <c r="L4" s="19">
        <v>12056.945</v>
      </c>
      <c r="M4" s="19">
        <v>12155.155000000001</v>
      </c>
      <c r="N4" s="19">
        <v>12025.96</v>
      </c>
      <c r="O4" s="18">
        <f>S4</f>
        <v>11192</v>
      </c>
      <c r="P4" s="19">
        <v>11236.192999999999</v>
      </c>
      <c r="Q4" s="19">
        <v>11400.014999999999</v>
      </c>
      <c r="R4" s="19">
        <v>11661</v>
      </c>
      <c r="S4" s="19">
        <v>11192</v>
      </c>
      <c r="T4" s="20">
        <f>X4</f>
        <v>10357</v>
      </c>
      <c r="U4" s="19">
        <v>10829</v>
      </c>
      <c r="V4" s="19">
        <v>10747</v>
      </c>
      <c r="W4" s="19">
        <v>10780</v>
      </c>
      <c r="X4" s="19">
        <v>10357</v>
      </c>
      <c r="Y4" s="20">
        <f>AC4</f>
        <v>9986</v>
      </c>
      <c r="Z4" s="19">
        <v>9855</v>
      </c>
      <c r="AA4" s="19">
        <v>9748</v>
      </c>
      <c r="AB4" s="19">
        <v>9905</v>
      </c>
      <c r="AC4" s="19">
        <v>9986</v>
      </c>
      <c r="AD4" s="20">
        <f>AE4</f>
        <v>9979</v>
      </c>
      <c r="AE4" s="19">
        <v>9979</v>
      </c>
      <c r="AF4" s="19"/>
      <c r="AG4" s="19"/>
      <c r="AH4" s="19"/>
    </row>
    <row r="5" spans="1:34">
      <c r="A5" s="13" t="s">
        <v>110</v>
      </c>
      <c r="B5" s="18">
        <v>5923</v>
      </c>
      <c r="C5" s="18">
        <v>7574</v>
      </c>
      <c r="D5" s="18">
        <v>9353</v>
      </c>
      <c r="E5" s="18">
        <v>11720.683999999999</v>
      </c>
      <c r="F5" s="21">
        <v>9635</v>
      </c>
      <c r="G5" s="21">
        <v>10068</v>
      </c>
      <c r="H5" s="21">
        <v>11001</v>
      </c>
      <c r="I5" s="21">
        <v>11721</v>
      </c>
      <c r="J5" s="20">
        <f>N5</f>
        <v>10311.959999999999</v>
      </c>
      <c r="K5" s="21">
        <v>10243.996999999999</v>
      </c>
      <c r="L5" s="21">
        <v>10303.945</v>
      </c>
      <c r="M5" s="21">
        <v>10386.155000000001</v>
      </c>
      <c r="N5" s="21">
        <v>10311.959999999999</v>
      </c>
      <c r="O5" s="20">
        <f>S5</f>
        <v>9711</v>
      </c>
      <c r="P5" s="21">
        <v>9548.1929999999993</v>
      </c>
      <c r="Q5" s="21">
        <v>9754.0149999999994</v>
      </c>
      <c r="R5" s="21">
        <v>10135</v>
      </c>
      <c r="S5" s="21">
        <v>9711</v>
      </c>
      <c r="T5" s="20">
        <f>X5</f>
        <v>9075</v>
      </c>
      <c r="U5" s="21">
        <v>9478</v>
      </c>
      <c r="V5" s="21">
        <v>9421</v>
      </c>
      <c r="W5" s="21">
        <v>9481</v>
      </c>
      <c r="X5" s="21">
        <v>9075</v>
      </c>
      <c r="Y5" s="20">
        <f>AC5</f>
        <v>9049</v>
      </c>
      <c r="Z5" s="21">
        <v>8594</v>
      </c>
      <c r="AA5" s="21">
        <v>8508</v>
      </c>
      <c r="AB5" s="21">
        <v>8765</v>
      </c>
      <c r="AC5" s="21">
        <v>9049</v>
      </c>
      <c r="AD5" s="20">
        <f>AE5</f>
        <v>9029</v>
      </c>
      <c r="AE5" s="21">
        <v>9029</v>
      </c>
      <c r="AF5" s="21"/>
      <c r="AG5" s="21"/>
      <c r="AH5" s="21"/>
    </row>
    <row r="6" spans="1:34">
      <c r="A6" s="13" t="s">
        <v>15</v>
      </c>
      <c r="B6" s="18">
        <v>92</v>
      </c>
      <c r="C6" s="18">
        <v>119</v>
      </c>
      <c r="D6" s="18">
        <v>122.44264721248412</v>
      </c>
      <c r="E6" s="18">
        <v>168.13987989117857</v>
      </c>
      <c r="F6" s="21">
        <v>160</v>
      </c>
      <c r="G6" s="21">
        <v>176</v>
      </c>
      <c r="H6" s="21">
        <v>175</v>
      </c>
      <c r="I6" s="21">
        <v>162</v>
      </c>
      <c r="J6" s="20">
        <f>AVERAGE(K6:N6)</f>
        <v>177.76264621353485</v>
      </c>
      <c r="K6" s="21">
        <v>171.26535738539837</v>
      </c>
      <c r="L6" s="21">
        <v>181.37712595583113</v>
      </c>
      <c r="M6" s="21">
        <v>180.63733339369381</v>
      </c>
      <c r="N6" s="21">
        <v>177.77076811921611</v>
      </c>
      <c r="O6" s="20">
        <f>AVERAGE(P6:S6)</f>
        <v>188.4816842294081</v>
      </c>
      <c r="P6" s="21">
        <v>176.03558528332056</v>
      </c>
      <c r="Q6" s="21">
        <v>188.44788443114055</v>
      </c>
      <c r="R6" s="21">
        <v>188.75163882125733</v>
      </c>
      <c r="S6" s="21">
        <v>200.69162838191403</v>
      </c>
      <c r="T6" s="20">
        <f>AVERAGE(U6:X6)</f>
        <v>212.20311853493928</v>
      </c>
      <c r="U6" s="21">
        <v>186.81247413975711</v>
      </c>
      <c r="V6" s="21">
        <v>198</v>
      </c>
      <c r="W6" s="21">
        <v>235</v>
      </c>
      <c r="X6" s="21">
        <v>229</v>
      </c>
      <c r="Y6" s="20">
        <f>AVERAGE(Z6:AC6)</f>
        <v>227.75</v>
      </c>
      <c r="Z6" s="21">
        <v>212</v>
      </c>
      <c r="AA6" s="21">
        <v>229</v>
      </c>
      <c r="AB6" s="21">
        <v>235</v>
      </c>
      <c r="AC6" s="21">
        <v>235</v>
      </c>
      <c r="AD6" s="20">
        <f>AVERAGE(AE6:AH6)</f>
        <v>220</v>
      </c>
      <c r="AE6" s="21">
        <v>220</v>
      </c>
      <c r="AF6" s="21"/>
      <c r="AG6" s="21"/>
      <c r="AH6" s="21"/>
    </row>
    <row r="7" spans="1:34">
      <c r="A7" s="13" t="s">
        <v>16</v>
      </c>
      <c r="B7" s="18">
        <v>1493</v>
      </c>
      <c r="C7" s="18">
        <v>1580</v>
      </c>
      <c r="D7" s="18">
        <v>1472.2250238510189</v>
      </c>
      <c r="E7" s="18">
        <v>1252.3631330093576</v>
      </c>
      <c r="F7" s="22">
        <v>1222</v>
      </c>
      <c r="G7" s="22">
        <v>1277</v>
      </c>
      <c r="H7" s="22">
        <v>1282</v>
      </c>
      <c r="I7" s="22">
        <v>1228</v>
      </c>
      <c r="J7" s="20">
        <f>AVERAGE(K7:N7)</f>
        <v>1288.9968917777951</v>
      </c>
      <c r="K7" s="22">
        <v>1192.9365106485666</v>
      </c>
      <c r="L7" s="22">
        <v>1275.35736719497</v>
      </c>
      <c r="M7" s="22">
        <v>1338.5919417920452</v>
      </c>
      <c r="N7" s="22">
        <v>1349.101747475599</v>
      </c>
      <c r="O7" s="20">
        <f>AVERAGE(P7:S7)</f>
        <v>1314.9299608955635</v>
      </c>
      <c r="P7" s="22">
        <v>1259.1738434447132</v>
      </c>
      <c r="Q7" s="22">
        <v>1363.1642583582909</v>
      </c>
      <c r="R7" s="22">
        <v>1340.4219218575745</v>
      </c>
      <c r="S7" s="22">
        <v>1296.9598199216757</v>
      </c>
      <c r="T7" s="20">
        <f>AVERAGE(U7:X7)</f>
        <v>1206.25</v>
      </c>
      <c r="U7" s="22">
        <v>1186</v>
      </c>
      <c r="V7" s="22">
        <v>1227</v>
      </c>
      <c r="W7" s="22">
        <v>1224</v>
      </c>
      <c r="X7" s="22">
        <v>1188</v>
      </c>
      <c r="Y7" s="20">
        <f>AVERAGE(Z7:AC7)</f>
        <v>1155.625</v>
      </c>
      <c r="Z7" s="22">
        <v>1103.5</v>
      </c>
      <c r="AA7" s="22">
        <v>1158.5</v>
      </c>
      <c r="AB7" s="22">
        <v>1190.5</v>
      </c>
      <c r="AC7" s="22">
        <v>1170</v>
      </c>
      <c r="AD7" s="20">
        <f>AVERAGE(AE7:AH7)</f>
        <v>1114</v>
      </c>
      <c r="AE7" s="22">
        <v>1114</v>
      </c>
      <c r="AF7" s="22"/>
      <c r="AG7" s="22"/>
      <c r="AH7" s="22"/>
    </row>
    <row r="8" spans="1:34">
      <c r="A8" s="13" t="s">
        <v>17</v>
      </c>
      <c r="B8" s="23">
        <v>0.43099999999999999</v>
      </c>
      <c r="C8" s="23">
        <v>0.32200000000000001</v>
      </c>
      <c r="D8" s="23">
        <v>0.35399999999999998</v>
      </c>
      <c r="E8" s="23">
        <v>0.253</v>
      </c>
      <c r="F8" s="24">
        <v>0.36599999999999999</v>
      </c>
      <c r="G8" s="24">
        <v>0.32400000000000001</v>
      </c>
      <c r="H8" s="24">
        <v>0.19500000000000001</v>
      </c>
      <c r="I8" s="24">
        <v>0.192</v>
      </c>
      <c r="J8" s="23">
        <f>AVERAGE(K8:N8)</f>
        <v>0.43400300186881735</v>
      </c>
      <c r="K8" s="24">
        <v>0.36375194679483991</v>
      </c>
      <c r="L8" s="24">
        <v>0.42187484483927823</v>
      </c>
      <c r="M8" s="24">
        <v>0.48183897160829781</v>
      </c>
      <c r="N8" s="24">
        <v>0.46854624423285346</v>
      </c>
      <c r="O8" s="23">
        <f>AVERAGE(P8:S8)</f>
        <v>0.49452128784908161</v>
      </c>
      <c r="P8" s="24">
        <v>0.66376205297746604</v>
      </c>
      <c r="Q8" s="24">
        <v>0.36318337657284977</v>
      </c>
      <c r="R8" s="24">
        <v>0.38155888122424914</v>
      </c>
      <c r="S8" s="24">
        <v>0.56958084062176151</v>
      </c>
      <c r="T8" s="23">
        <f>AVERAGE(U8:X8)</f>
        <v>0.45125000000000004</v>
      </c>
      <c r="U8" s="24">
        <v>0.45800000000000002</v>
      </c>
      <c r="V8" s="24">
        <v>0.39800000000000002</v>
      </c>
      <c r="W8" s="24">
        <v>0.432</v>
      </c>
      <c r="X8" s="72">
        <v>0.51700000000000002</v>
      </c>
      <c r="Y8" s="23">
        <f>AVERAGE(Z8:AC8)</f>
        <v>0.49283530248083196</v>
      </c>
      <c r="Z8" s="72">
        <v>0.489798807677223</v>
      </c>
      <c r="AA8" s="72">
        <v>0.449018793971797</v>
      </c>
      <c r="AB8" s="72">
        <v>0.46052360827430799</v>
      </c>
      <c r="AC8" s="72">
        <v>0.57199999999999995</v>
      </c>
      <c r="AD8" s="23">
        <f>AVERAGE(AE8:AH8)</f>
        <v>0.434</v>
      </c>
      <c r="AE8" s="72">
        <v>0.434</v>
      </c>
      <c r="AF8" s="72"/>
      <c r="AG8" s="72"/>
      <c r="AH8" s="72"/>
    </row>
    <row r="9" spans="1:34">
      <c r="A9" s="13" t="s">
        <v>89</v>
      </c>
      <c r="B9" s="18">
        <v>1442</v>
      </c>
      <c r="C9" s="18">
        <v>1439</v>
      </c>
      <c r="D9" s="18">
        <v>1584</v>
      </c>
      <c r="E9" s="18">
        <v>1612</v>
      </c>
      <c r="F9" s="22">
        <v>1616</v>
      </c>
      <c r="G9" s="22">
        <v>1671</v>
      </c>
      <c r="H9" s="22">
        <v>1686</v>
      </c>
      <c r="I9" s="22">
        <v>1612</v>
      </c>
      <c r="J9" s="25">
        <f>N9</f>
        <v>1488</v>
      </c>
      <c r="K9" s="22">
        <v>1638</v>
      </c>
      <c r="L9" s="22">
        <v>1609</v>
      </c>
      <c r="M9" s="22">
        <v>1594</v>
      </c>
      <c r="N9" s="22">
        <v>1488</v>
      </c>
      <c r="O9" s="25">
        <f>S9</f>
        <v>1736</v>
      </c>
      <c r="P9" s="22">
        <v>1499</v>
      </c>
      <c r="Q9" s="22">
        <v>1690</v>
      </c>
      <c r="R9" s="22">
        <v>1722</v>
      </c>
      <c r="S9" s="22">
        <v>1736</v>
      </c>
      <c r="T9" s="20">
        <f>X9</f>
        <v>1830</v>
      </c>
      <c r="U9" s="22">
        <v>1740</v>
      </c>
      <c r="V9" s="22">
        <v>1792</v>
      </c>
      <c r="W9" s="22">
        <v>1898</v>
      </c>
      <c r="X9" s="22">
        <v>1830</v>
      </c>
      <c r="Y9" s="20">
        <f>AC9</f>
        <v>1821</v>
      </c>
      <c r="Z9" s="22">
        <v>1809</v>
      </c>
      <c r="AA9" s="22">
        <v>1813</v>
      </c>
      <c r="AB9" s="22">
        <v>1814</v>
      </c>
      <c r="AC9" s="22">
        <v>1821</v>
      </c>
      <c r="AD9" s="20">
        <f>AE9</f>
        <v>1831</v>
      </c>
      <c r="AE9" s="22">
        <v>1831</v>
      </c>
      <c r="AF9" s="22"/>
      <c r="AG9" s="22"/>
      <c r="AH9" s="22"/>
    </row>
    <row r="10" spans="1:34">
      <c r="E10" s="26"/>
      <c r="R10" s="21"/>
      <c r="S10" s="21"/>
    </row>
    <row r="11" spans="1:34">
      <c r="B11" s="20"/>
      <c r="C11" s="20"/>
      <c r="D11" s="20"/>
      <c r="E11" s="20"/>
      <c r="L11" s="22"/>
      <c r="Q11" s="22"/>
      <c r="R11" s="21"/>
      <c r="S11" s="22"/>
    </row>
    <row r="12" spans="1:34">
      <c r="R12" s="22"/>
      <c r="S12" s="24"/>
    </row>
    <row r="13" spans="1:34">
      <c r="A13" s="27" t="s">
        <v>111</v>
      </c>
      <c r="R13" s="24"/>
      <c r="S13" s="22"/>
    </row>
    <row r="14" spans="1:34">
      <c r="R14" s="22"/>
      <c r="S14" s="22"/>
    </row>
    <row r="17" spans="13:13">
      <c r="M17" s="18"/>
    </row>
    <row r="18" spans="13:13">
      <c r="M18" s="18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D19" sqref="AD19"/>
    </sheetView>
  </sheetViews>
  <sheetFormatPr defaultColWidth="8.85546875" defaultRowHeight="12.75" outlineLevelCol="1"/>
  <cols>
    <col min="1" max="1" width="44.7109375" style="13" bestFit="1" customWidth="1"/>
    <col min="2" max="4" width="10.7109375" style="13" hidden="1" customWidth="1" outlineLevel="1"/>
    <col min="5" max="5" width="12" style="13" hidden="1" customWidth="1" outlineLevel="1"/>
    <col min="6" max="14" width="10.140625" style="13" hidden="1" customWidth="1" outlineLevel="1"/>
    <col min="15" max="15" width="9.85546875" style="13" hidden="1" customWidth="1" outlineLevel="1"/>
    <col min="16" max="17" width="10.140625" style="13" hidden="1" customWidth="1" outlineLevel="1"/>
    <col min="18" max="19" width="0" style="13" hidden="1" customWidth="1" outlineLevel="1"/>
    <col min="20" max="20" width="9.85546875" style="13" hidden="1" customWidth="1" outlineLevel="1"/>
    <col min="21" max="24" width="0" style="13" hidden="1" customWidth="1" outlineLevel="1"/>
    <col min="25" max="25" width="9.85546875" style="13" customWidth="1" collapsed="1"/>
    <col min="26" max="29" width="8.85546875" style="13"/>
    <col min="30" max="30" width="9.85546875" style="13" customWidth="1"/>
    <col min="31" max="16384" width="8.85546875" style="13"/>
  </cols>
  <sheetData>
    <row r="2" spans="1:34">
      <c r="A2" s="28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1:34">
      <c r="A3" s="30" t="s">
        <v>19</v>
      </c>
      <c r="B3" s="31" t="s">
        <v>12</v>
      </c>
      <c r="C3" s="31" t="s">
        <v>10</v>
      </c>
      <c r="D3" s="31">
        <v>2011</v>
      </c>
      <c r="E3" s="31" t="s">
        <v>13</v>
      </c>
      <c r="F3" s="32" t="s">
        <v>13</v>
      </c>
      <c r="G3" s="32" t="s">
        <v>13</v>
      </c>
      <c r="H3" s="32" t="s">
        <v>13</v>
      </c>
      <c r="I3" s="32" t="s">
        <v>13</v>
      </c>
      <c r="J3" s="31" t="s">
        <v>94</v>
      </c>
      <c r="K3" s="32" t="s">
        <v>94</v>
      </c>
      <c r="L3" s="32" t="s">
        <v>94</v>
      </c>
      <c r="M3" s="32" t="s">
        <v>94</v>
      </c>
      <c r="N3" s="32" t="s">
        <v>94</v>
      </c>
      <c r="O3" s="31" t="s">
        <v>102</v>
      </c>
      <c r="P3" s="32" t="s">
        <v>102</v>
      </c>
      <c r="Q3" s="32" t="s">
        <v>102</v>
      </c>
      <c r="R3" s="32" t="s">
        <v>102</v>
      </c>
      <c r="S3" s="32" t="s">
        <v>102</v>
      </c>
      <c r="T3" s="31" t="s">
        <v>115</v>
      </c>
      <c r="U3" s="32" t="s">
        <v>115</v>
      </c>
      <c r="V3" s="32" t="s">
        <v>115</v>
      </c>
      <c r="W3" s="32" t="s">
        <v>115</v>
      </c>
      <c r="X3" s="32" t="s">
        <v>115</v>
      </c>
      <c r="Y3" s="31">
        <v>2016</v>
      </c>
      <c r="Z3" s="32">
        <v>2016</v>
      </c>
      <c r="AA3" s="32">
        <v>2016</v>
      </c>
      <c r="AB3" s="32">
        <v>2016</v>
      </c>
      <c r="AC3" s="32">
        <v>2016</v>
      </c>
      <c r="AD3" s="31">
        <v>2017</v>
      </c>
      <c r="AE3" s="32">
        <v>2017</v>
      </c>
      <c r="AF3" s="32">
        <v>2017</v>
      </c>
      <c r="AG3" s="32">
        <v>2017</v>
      </c>
      <c r="AH3" s="32">
        <v>2017</v>
      </c>
    </row>
    <row r="4" spans="1:34">
      <c r="A4" s="14" t="s">
        <v>20</v>
      </c>
      <c r="B4" s="16" t="s">
        <v>11</v>
      </c>
      <c r="C4" s="16" t="s">
        <v>11</v>
      </c>
      <c r="D4" s="16" t="s">
        <v>11</v>
      </c>
      <c r="E4" s="16" t="s">
        <v>11</v>
      </c>
      <c r="F4" s="33" t="s">
        <v>90</v>
      </c>
      <c r="G4" s="33" t="s">
        <v>91</v>
      </c>
      <c r="H4" s="33" t="s">
        <v>92</v>
      </c>
      <c r="I4" s="33" t="s">
        <v>93</v>
      </c>
      <c r="J4" s="16" t="s">
        <v>11</v>
      </c>
      <c r="K4" s="33" t="s">
        <v>90</v>
      </c>
      <c r="L4" s="33" t="s">
        <v>91</v>
      </c>
      <c r="M4" s="33" t="s">
        <v>92</v>
      </c>
      <c r="N4" s="33" t="s">
        <v>93</v>
      </c>
      <c r="O4" s="34" t="s">
        <v>106</v>
      </c>
      <c r="P4" s="33" t="s">
        <v>90</v>
      </c>
      <c r="Q4" s="33" t="s">
        <v>91</v>
      </c>
      <c r="R4" s="33" t="s">
        <v>92</v>
      </c>
      <c r="S4" s="33" t="s">
        <v>93</v>
      </c>
      <c r="T4" s="34" t="s">
        <v>106</v>
      </c>
      <c r="U4" s="33" t="s">
        <v>90</v>
      </c>
      <c r="V4" s="33" t="s">
        <v>91</v>
      </c>
      <c r="W4" s="33" t="s">
        <v>92</v>
      </c>
      <c r="X4" s="33" t="s">
        <v>93</v>
      </c>
      <c r="Y4" s="34" t="s">
        <v>106</v>
      </c>
      <c r="Z4" s="33" t="s">
        <v>90</v>
      </c>
      <c r="AA4" s="33" t="s">
        <v>91</v>
      </c>
      <c r="AB4" s="33" t="s">
        <v>92</v>
      </c>
      <c r="AC4" s="33" t="s">
        <v>93</v>
      </c>
      <c r="AD4" s="34" t="s">
        <v>106</v>
      </c>
      <c r="AE4" s="33" t="s">
        <v>90</v>
      </c>
      <c r="AF4" s="33" t="s">
        <v>91</v>
      </c>
      <c r="AG4" s="33" t="s">
        <v>92</v>
      </c>
      <c r="AH4" s="33" t="s">
        <v>93</v>
      </c>
    </row>
    <row r="5" spans="1:34">
      <c r="A5" s="13" t="s">
        <v>100</v>
      </c>
      <c r="B5" s="35">
        <v>130352</v>
      </c>
      <c r="C5" s="35">
        <v>152488</v>
      </c>
      <c r="D5" s="35">
        <v>178786.23499999999</v>
      </c>
      <c r="E5" s="35">
        <v>182003.5</v>
      </c>
      <c r="F5" s="19">
        <f>Revenues!F8</f>
        <v>41397.799452919993</v>
      </c>
      <c r="G5" s="19">
        <f>Revenues!G8</f>
        <v>44383.187892240006</v>
      </c>
      <c r="H5" s="19">
        <f>Revenues!H8</f>
        <v>47323</v>
      </c>
      <c r="I5" s="19">
        <v>48900.4</v>
      </c>
      <c r="J5" s="35">
        <f>SUM(K5:N5)</f>
        <v>187599.4</v>
      </c>
      <c r="K5" s="19">
        <f>Revenues!K8</f>
        <v>43053.200000000004</v>
      </c>
      <c r="L5" s="19">
        <f>Revenues!L8</f>
        <v>46271.199999999997</v>
      </c>
      <c r="M5" s="19">
        <f>Revenues!M8</f>
        <v>48749</v>
      </c>
      <c r="N5" s="19">
        <v>49526</v>
      </c>
      <c r="O5" s="35">
        <f>SUM(P5:S5)</f>
        <v>187580.69999999998</v>
      </c>
      <c r="P5" s="19">
        <v>44107</v>
      </c>
      <c r="Q5" s="19">
        <v>48035</v>
      </c>
      <c r="R5" s="19">
        <v>49165.3</v>
      </c>
      <c r="S5" s="19">
        <v>46273.4</v>
      </c>
      <c r="T5" s="35">
        <f>SUM(U5:X5)</f>
        <v>168424</v>
      </c>
      <c r="U5" s="19">
        <v>43085</v>
      </c>
      <c r="V5" s="19">
        <v>42980</v>
      </c>
      <c r="W5" s="19">
        <v>42755.5</v>
      </c>
      <c r="X5" s="19">
        <v>39603.5</v>
      </c>
      <c r="Y5" s="35">
        <f>SUM(Z5:AC5)</f>
        <v>147036.52799999999</v>
      </c>
      <c r="Z5" s="19">
        <v>35469.724999999999</v>
      </c>
      <c r="AA5" s="19">
        <v>36412.803000000007</v>
      </c>
      <c r="AB5" s="19">
        <v>36931</v>
      </c>
      <c r="AC5" s="19">
        <v>38223</v>
      </c>
      <c r="AD5" s="35">
        <f>SUM(AE5:AH5)</f>
        <v>35517</v>
      </c>
      <c r="AE5" s="19">
        <v>35517</v>
      </c>
      <c r="AF5" s="19"/>
      <c r="AG5" s="19"/>
      <c r="AH5" s="19"/>
    </row>
    <row r="6" spans="1:34">
      <c r="A6" s="71" t="s">
        <v>116</v>
      </c>
      <c r="B6" s="35"/>
      <c r="C6" s="35"/>
      <c r="D6" s="35"/>
      <c r="E6" s="35"/>
      <c r="F6" s="19"/>
      <c r="G6" s="19"/>
      <c r="H6" s="19"/>
      <c r="I6" s="19"/>
      <c r="J6" s="35"/>
      <c r="K6" s="19"/>
      <c r="L6" s="19"/>
      <c r="M6" s="19"/>
      <c r="N6" s="19"/>
      <c r="O6" s="35"/>
      <c r="P6" s="19"/>
      <c r="Q6" s="19">
        <v>46904</v>
      </c>
      <c r="R6" s="19">
        <v>47201</v>
      </c>
      <c r="S6" s="19">
        <v>44175</v>
      </c>
      <c r="T6" s="35">
        <f>SUM(U6:X6)</f>
        <v>157288</v>
      </c>
      <c r="U6" s="19">
        <v>39756</v>
      </c>
      <c r="V6" s="19">
        <v>40079</v>
      </c>
      <c r="W6" s="19">
        <v>39612</v>
      </c>
      <c r="X6" s="19">
        <v>37841</v>
      </c>
      <c r="Y6" s="35">
        <f>SUM(Z6:AC6)</f>
        <v>137337</v>
      </c>
      <c r="Z6" s="19">
        <v>33514.39</v>
      </c>
      <c r="AA6" s="19">
        <v>34011.61</v>
      </c>
      <c r="AB6" s="19">
        <v>35032</v>
      </c>
      <c r="AC6" s="19">
        <v>34779</v>
      </c>
      <c r="AD6" s="35">
        <f>SUM(AE6:AH6)</f>
        <v>33022</v>
      </c>
      <c r="AE6" s="19">
        <v>33022</v>
      </c>
      <c r="AF6" s="19"/>
      <c r="AG6" s="19"/>
      <c r="AH6" s="19"/>
    </row>
    <row r="7" spans="1:34">
      <c r="A7" s="36" t="s">
        <v>108</v>
      </c>
      <c r="B7" s="35">
        <v>70588</v>
      </c>
      <c r="C7" s="35">
        <v>87933</v>
      </c>
      <c r="D7" s="35">
        <v>105794.12999999998</v>
      </c>
      <c r="E7" s="35">
        <v>101425.60000000001</v>
      </c>
      <c r="F7" s="19">
        <v>23454</v>
      </c>
      <c r="G7" s="19">
        <v>25064</v>
      </c>
      <c r="H7" s="19">
        <v>26654</v>
      </c>
      <c r="I7" s="19">
        <v>26254</v>
      </c>
      <c r="J7" s="35">
        <f>SUM(K7:N7)</f>
        <v>104726.7</v>
      </c>
      <c r="K7" s="19">
        <v>23728.3</v>
      </c>
      <c r="L7" s="19">
        <v>25508.400000000001</v>
      </c>
      <c r="M7" s="19">
        <v>26892</v>
      </c>
      <c r="N7" s="19">
        <v>28598</v>
      </c>
      <c r="O7" s="35">
        <f>SUM(P7:S7)</f>
        <v>105321.7</v>
      </c>
      <c r="P7" s="19">
        <v>25673</v>
      </c>
      <c r="Q7" s="19">
        <v>27536</v>
      </c>
      <c r="R7" s="19">
        <v>27623.7</v>
      </c>
      <c r="S7" s="19">
        <v>24489</v>
      </c>
      <c r="T7" s="35">
        <f>SUM(U7:X7)</f>
        <v>81787</v>
      </c>
      <c r="U7" s="19">
        <v>23817</v>
      </c>
      <c r="V7" s="19">
        <f>22184-304</f>
        <v>21880</v>
      </c>
      <c r="W7" s="19">
        <v>19028</v>
      </c>
      <c r="X7" s="19">
        <v>17062</v>
      </c>
      <c r="Y7" s="35">
        <f>SUM(Z7:AC7)</f>
        <v>57988.429000000004</v>
      </c>
      <c r="Z7" s="19">
        <v>14927.672999999999</v>
      </c>
      <c r="AA7" s="19">
        <v>14337.756000000007</v>
      </c>
      <c r="AB7" s="19">
        <v>14238</v>
      </c>
      <c r="AC7" s="19">
        <v>14485</v>
      </c>
      <c r="AD7" s="35">
        <f>SUM(AE7:AH7)</f>
        <v>13126</v>
      </c>
      <c r="AE7" s="19">
        <v>13126</v>
      </c>
      <c r="AF7" s="19"/>
      <c r="AG7" s="19"/>
      <c r="AH7" s="19"/>
    </row>
    <row r="8" spans="1:34" s="23" customFormat="1">
      <c r="A8" s="23" t="s">
        <v>22</v>
      </c>
      <c r="B8" s="37">
        <v>0.54200000000000004</v>
      </c>
      <c r="C8" s="37">
        <v>0.57699999999999996</v>
      </c>
      <c r="D8" s="37">
        <v>0.59173532011566765</v>
      </c>
      <c r="E8" s="37">
        <v>0.55700000000000005</v>
      </c>
      <c r="F8" s="38">
        <v>0.56699999999999995</v>
      </c>
      <c r="G8" s="38">
        <v>0.56469999999999998</v>
      </c>
      <c r="H8" s="38">
        <v>0.56299999999999994</v>
      </c>
      <c r="I8" s="38">
        <v>0.53600000000000003</v>
      </c>
      <c r="J8" s="37">
        <f>J7/J5</f>
        <v>0.55824645494601799</v>
      </c>
      <c r="K8" s="38">
        <v>0.55100000000000005</v>
      </c>
      <c r="L8" s="38">
        <v>0.55100000000000005</v>
      </c>
      <c r="M8" s="38">
        <v>0.55200000000000005</v>
      </c>
      <c r="N8" s="38">
        <v>0.57699999999999996</v>
      </c>
      <c r="O8" s="37">
        <f>O7/O5</f>
        <v>0.56147407489150003</v>
      </c>
      <c r="P8" s="38">
        <v>0.58199999999999996</v>
      </c>
      <c r="Q8" s="38">
        <v>0.57299999999999995</v>
      </c>
      <c r="R8" s="38">
        <v>0.56200000000000006</v>
      </c>
      <c r="S8" s="38">
        <v>0.52900000000000003</v>
      </c>
      <c r="T8" s="37">
        <f>T7/T5</f>
        <v>0.4856018144682468</v>
      </c>
      <c r="U8" s="38">
        <v>0.55300000000000005</v>
      </c>
      <c r="V8" s="38">
        <f>V7/V5</f>
        <v>0.5090739879013495</v>
      </c>
      <c r="W8" s="38">
        <f>W7/W5</f>
        <v>0.44504215831881277</v>
      </c>
      <c r="X8" s="38">
        <v>0.43099999999999999</v>
      </c>
      <c r="Y8" s="37">
        <f>Y7/Y5</f>
        <v>0.3943811091622077</v>
      </c>
      <c r="Z8" s="38">
        <v>0.42085674473089374</v>
      </c>
      <c r="AA8" s="38">
        <v>0.39375589953896173</v>
      </c>
      <c r="AB8" s="38">
        <v>0.38600000000000001</v>
      </c>
      <c r="AC8" s="38">
        <v>0.379</v>
      </c>
      <c r="AD8" s="37">
        <f>AD7/AD5</f>
        <v>0.3695695019286539</v>
      </c>
      <c r="AE8" s="38">
        <f>AE7/AE5</f>
        <v>0.3695695019286539</v>
      </c>
      <c r="AF8" s="38"/>
      <c r="AG8" s="38"/>
      <c r="AH8" s="38"/>
    </row>
    <row r="9" spans="1:34">
      <c r="A9" s="13" t="s">
        <v>23</v>
      </c>
      <c r="B9" s="35">
        <v>53778</v>
      </c>
      <c r="C9" s="35">
        <v>68354</v>
      </c>
      <c r="D9" s="35">
        <v>82898.225999999981</v>
      </c>
      <c r="E9" s="35">
        <v>77901.899999999994</v>
      </c>
      <c r="F9" s="19">
        <v>16555</v>
      </c>
      <c r="G9" s="19">
        <v>20162</v>
      </c>
      <c r="H9" s="19">
        <v>20881</v>
      </c>
      <c r="I9" s="19">
        <v>20304</v>
      </c>
      <c r="J9" s="35">
        <f>SUM(K9:N9)</f>
        <v>81600</v>
      </c>
      <c r="K9" s="19">
        <v>17956</v>
      </c>
      <c r="L9" s="19">
        <v>19748</v>
      </c>
      <c r="M9" s="19">
        <v>21045</v>
      </c>
      <c r="N9" s="19">
        <v>22851</v>
      </c>
      <c r="O9" s="35">
        <f>SUM(P9:S9)</f>
        <v>75250</v>
      </c>
      <c r="P9" s="19">
        <v>19855</v>
      </c>
      <c r="Q9" s="19">
        <v>21033</v>
      </c>
      <c r="R9" s="19">
        <v>17912</v>
      </c>
      <c r="S9" s="19">
        <v>16450</v>
      </c>
      <c r="T9" s="35">
        <f>SUM(U9:X9)</f>
        <v>52600.800000000003</v>
      </c>
      <c r="U9" s="19">
        <v>17374</v>
      </c>
      <c r="V9" s="19">
        <f>16057-304</f>
        <v>15753</v>
      </c>
      <c r="W9" s="19">
        <v>12849.4</v>
      </c>
      <c r="X9" s="19">
        <v>6624.4</v>
      </c>
      <c r="Y9" s="35">
        <f>SUM(Z9:AC9)</f>
        <v>31041.991000000005</v>
      </c>
      <c r="Z9" s="19">
        <v>9057.7529999999988</v>
      </c>
      <c r="AA9" s="19">
        <v>7801.2380000000067</v>
      </c>
      <c r="AB9" s="19">
        <v>7916</v>
      </c>
      <c r="AC9" s="19">
        <v>6267</v>
      </c>
      <c r="AD9" s="35">
        <f>SUM(AE9:AH9)</f>
        <v>7496</v>
      </c>
      <c r="AE9" s="19">
        <v>7496</v>
      </c>
      <c r="AF9" s="19"/>
      <c r="AG9" s="19"/>
      <c r="AH9" s="19"/>
    </row>
    <row r="10" spans="1:34">
      <c r="A10" s="13" t="s">
        <v>109</v>
      </c>
      <c r="B10" s="35">
        <v>53778</v>
      </c>
      <c r="C10" s="35">
        <v>68354</v>
      </c>
      <c r="D10" s="35">
        <v>82898.225999999981</v>
      </c>
      <c r="E10" s="35">
        <v>78644.899999999994</v>
      </c>
      <c r="F10" s="39">
        <v>17590</v>
      </c>
      <c r="G10" s="21">
        <f>G9+G16</f>
        <v>19572.125</v>
      </c>
      <c r="H10" s="21">
        <f>H9+H16</f>
        <v>21103.75</v>
      </c>
      <c r="I10" s="19">
        <v>20379</v>
      </c>
      <c r="J10" s="35">
        <f>SUM(K10:N10)</f>
        <v>81600</v>
      </c>
      <c r="K10" s="39">
        <v>17956</v>
      </c>
      <c r="L10" s="19">
        <v>19748</v>
      </c>
      <c r="M10" s="19">
        <v>21045</v>
      </c>
      <c r="N10" s="19">
        <v>22851</v>
      </c>
      <c r="O10" s="35">
        <f>SUM(P10:S10)</f>
        <v>80131</v>
      </c>
      <c r="P10" s="19">
        <v>19855</v>
      </c>
      <c r="Q10" s="19">
        <v>21238</v>
      </c>
      <c r="R10" s="19">
        <v>21551</v>
      </c>
      <c r="S10" s="19">
        <v>17487</v>
      </c>
      <c r="T10" s="35">
        <f>SUM(U10:X10)</f>
        <v>57212.800000000003</v>
      </c>
      <c r="U10" s="19">
        <v>17701</v>
      </c>
      <c r="V10" s="19">
        <f>V9-V16</f>
        <v>15753</v>
      </c>
      <c r="W10" s="19">
        <v>12849.4</v>
      </c>
      <c r="X10" s="19">
        <v>10909.4</v>
      </c>
      <c r="Y10" s="35">
        <f>SUM(Z10:AC10)</f>
        <v>33740.052000000003</v>
      </c>
      <c r="Z10" s="19">
        <v>9414.8759999999984</v>
      </c>
      <c r="AA10" s="19">
        <v>7914.1760000000068</v>
      </c>
      <c r="AB10" s="19">
        <v>8056</v>
      </c>
      <c r="AC10" s="19">
        <v>8355</v>
      </c>
      <c r="AD10" s="35">
        <f>SUM(AE10:AH10)</f>
        <v>7496</v>
      </c>
      <c r="AE10" s="19">
        <v>7496</v>
      </c>
      <c r="AF10" s="19"/>
      <c r="AG10" s="19"/>
      <c r="AH10" s="19"/>
    </row>
    <row r="11" spans="1:34">
      <c r="A11" s="13" t="s">
        <v>24</v>
      </c>
      <c r="B11" s="35">
        <v>43197</v>
      </c>
      <c r="C11" s="35">
        <v>54768</v>
      </c>
      <c r="D11" s="35">
        <v>66858.103999999978</v>
      </c>
      <c r="E11" s="35">
        <v>61828</v>
      </c>
      <c r="F11" s="39">
        <v>13325</v>
      </c>
      <c r="G11" s="19">
        <v>16099.728197480006</v>
      </c>
      <c r="H11" s="19">
        <v>16646.999999999989</v>
      </c>
      <c r="I11" s="19">
        <v>15756</v>
      </c>
      <c r="J11" s="35">
        <f>SUM(K11:N11)</f>
        <v>63392</v>
      </c>
      <c r="K11" s="39">
        <v>13656</v>
      </c>
      <c r="L11" s="39">
        <v>15551</v>
      </c>
      <c r="M11" s="39">
        <v>15921</v>
      </c>
      <c r="N11" s="19">
        <v>18264</v>
      </c>
      <c r="O11" s="35">
        <f>SUM(P11:S11)</f>
        <v>58271</v>
      </c>
      <c r="P11" s="19">
        <v>15635</v>
      </c>
      <c r="Q11" s="19">
        <v>16512</v>
      </c>
      <c r="R11" s="19">
        <v>13457</v>
      </c>
      <c r="S11" s="19">
        <v>12667</v>
      </c>
      <c r="T11" s="35">
        <f>SUM(U11:X11)</f>
        <v>46631.8</v>
      </c>
      <c r="U11" s="19">
        <v>13234</v>
      </c>
      <c r="V11" s="19">
        <v>11319</v>
      </c>
      <c r="W11" s="19">
        <v>15112.4</v>
      </c>
      <c r="X11" s="19">
        <v>6966.4</v>
      </c>
      <c r="Y11" s="35">
        <f>SUM(Z11:AC11)</f>
        <v>16683.896000000008</v>
      </c>
      <c r="Z11" s="19">
        <v>6625.0820000000003</v>
      </c>
      <c r="AA11" s="19">
        <v>4629.8140000000058</v>
      </c>
      <c r="AB11" s="19">
        <v>4378</v>
      </c>
      <c r="AC11" s="19">
        <v>1051</v>
      </c>
      <c r="AD11" s="35">
        <f>SUM(AE11:AH11)</f>
        <v>3799</v>
      </c>
      <c r="AE11" s="19">
        <v>3799</v>
      </c>
      <c r="AF11" s="19"/>
      <c r="AG11" s="19"/>
      <c r="AH11" s="19"/>
    </row>
    <row r="12" spans="1:34" s="40" customFormat="1">
      <c r="A12" s="40" t="s">
        <v>25</v>
      </c>
      <c r="B12" s="41">
        <v>215.98500000000001</v>
      </c>
      <c r="C12" s="41">
        <v>273.83999999999997</v>
      </c>
      <c r="D12" s="41">
        <v>334.2905199999999</v>
      </c>
      <c r="E12" s="41">
        <v>309.14</v>
      </c>
      <c r="F12" s="42">
        <v>66.63</v>
      </c>
      <c r="G12" s="43">
        <v>80.5</v>
      </c>
      <c r="H12" s="43">
        <v>83.24</v>
      </c>
      <c r="I12" s="43">
        <v>78.78</v>
      </c>
      <c r="J12" s="41">
        <f>J11*1000/200000</f>
        <v>316.95999999999998</v>
      </c>
      <c r="K12" s="42">
        <v>68.28</v>
      </c>
      <c r="L12" s="42">
        <v>77.760000000000005</v>
      </c>
      <c r="M12" s="42">
        <v>79.61</v>
      </c>
      <c r="N12" s="43">
        <v>91.32</v>
      </c>
      <c r="O12" s="41">
        <f>O11*1000/200000</f>
        <v>291.35500000000002</v>
      </c>
      <c r="P12" s="43">
        <v>78.180000000000007</v>
      </c>
      <c r="Q12" s="43">
        <v>82.56</v>
      </c>
      <c r="R12" s="43">
        <v>67.3</v>
      </c>
      <c r="S12" s="43">
        <v>63.3</v>
      </c>
      <c r="T12" s="41">
        <f>T11*1000/200000</f>
        <v>233.15899999999999</v>
      </c>
      <c r="U12" s="43">
        <v>66.2</v>
      </c>
      <c r="V12" s="43">
        <f>V11/200</f>
        <v>56.594999999999999</v>
      </c>
      <c r="W12" s="43">
        <v>75.5</v>
      </c>
      <c r="X12" s="43">
        <v>34.799999999999997</v>
      </c>
      <c r="Y12" s="41">
        <f>Y11*1000/200000</f>
        <v>83.419480000000036</v>
      </c>
      <c r="Z12" s="43">
        <v>33.125410000000002</v>
      </c>
      <c r="AA12" s="43">
        <v>23.14907000000003</v>
      </c>
      <c r="AB12" s="43">
        <v>21.9</v>
      </c>
      <c r="AC12" s="43">
        <v>5.3</v>
      </c>
      <c r="AD12" s="41">
        <f>AD11*1000/200000</f>
        <v>18.995000000000001</v>
      </c>
      <c r="AE12" s="43">
        <v>19</v>
      </c>
      <c r="AF12" s="43"/>
      <c r="AG12" s="43"/>
      <c r="AH12" s="43"/>
    </row>
    <row r="13" spans="1:34" s="23" customFormat="1">
      <c r="A13" s="23" t="s">
        <v>26</v>
      </c>
      <c r="B13" s="37">
        <f>Investments!B7/'Financial highlights'!B5</f>
        <v>0.18908800785565238</v>
      </c>
      <c r="C13" s="37">
        <f>Investments!C7/'Financial highlights'!C5</f>
        <v>0.18739179476417814</v>
      </c>
      <c r="D13" s="37">
        <f>Investments!D7/'Financial highlights'!D5</f>
        <v>0.14990527654436037</v>
      </c>
      <c r="E13" s="37">
        <f>Investments!E7/'Financial highlights'!E5</f>
        <v>0.14686530753529464</v>
      </c>
      <c r="F13" s="38">
        <v>6.7000000000000004E-2</v>
      </c>
      <c r="G13" s="38">
        <v>0.27200000000000002</v>
      </c>
      <c r="H13" s="38">
        <v>0.10299999999999999</v>
      </c>
      <c r="I13" s="38">
        <v>0.14299999999999999</v>
      </c>
      <c r="J13" s="37">
        <f>Investments!J11</f>
        <v>0.12179676480841624</v>
      </c>
      <c r="K13" s="38">
        <v>0.123</v>
      </c>
      <c r="L13" s="38">
        <v>0.128</v>
      </c>
      <c r="M13" s="38">
        <v>0.111</v>
      </c>
      <c r="N13" s="38">
        <v>0.126</v>
      </c>
      <c r="O13" s="37">
        <f>Investments!O11</f>
        <v>0.11199988499508362</v>
      </c>
      <c r="P13" s="38">
        <f>Investments!P11</f>
        <v>5.3800983970798286E-2</v>
      </c>
      <c r="Q13" s="38">
        <f>Investments!Q11</f>
        <v>3.9304960264844098E-2</v>
      </c>
      <c r="R13" s="38">
        <f>Investments!R11</f>
        <v>9.5107534973782368E-2</v>
      </c>
      <c r="S13" s="38">
        <f>Investments!S11</f>
        <v>0.26088365911374761</v>
      </c>
      <c r="T13" s="37">
        <f>Investments!T11</f>
        <v>0.1100252337835832</v>
      </c>
      <c r="U13" s="38">
        <f>Investments!U11</f>
        <v>4.8508761750029016E-2</v>
      </c>
      <c r="V13" s="38">
        <v>8.8999999999999996E-2</v>
      </c>
      <c r="W13" s="38">
        <v>0.115</v>
      </c>
      <c r="X13" s="38">
        <v>0.19400000000000001</v>
      </c>
      <c r="Y13" s="37">
        <f>Investments!Y11</f>
        <v>0.34696820449488458</v>
      </c>
      <c r="Z13" s="38">
        <v>8.8999999999999996E-2</v>
      </c>
      <c r="AA13" s="38">
        <v>8.3322341320441584E-2</v>
      </c>
      <c r="AB13" s="38">
        <v>0.27100000000000002</v>
      </c>
      <c r="AC13" s="38">
        <v>0.23100000000000001</v>
      </c>
      <c r="AD13" s="37">
        <f>Investments!AD11</f>
        <v>0.16690598868147646</v>
      </c>
      <c r="AE13" s="38">
        <v>0.16700000000000001</v>
      </c>
      <c r="AF13" s="38"/>
      <c r="AG13" s="38"/>
      <c r="AH13" s="38"/>
    </row>
    <row r="14" spans="1:34">
      <c r="A14" s="13" t="s">
        <v>27</v>
      </c>
      <c r="B14" s="35">
        <v>29395</v>
      </c>
      <c r="C14" s="35">
        <v>56117</v>
      </c>
      <c r="D14" s="35">
        <v>54108</v>
      </c>
      <c r="E14" s="35">
        <v>61203</v>
      </c>
      <c r="F14" s="39">
        <v>15227</v>
      </c>
      <c r="G14" s="19">
        <v>10216</v>
      </c>
      <c r="H14" s="19">
        <v>17399</v>
      </c>
      <c r="I14" s="19">
        <v>18361</v>
      </c>
      <c r="J14" s="35">
        <f>SUM(K14:N14)</f>
        <v>80743</v>
      </c>
      <c r="K14" s="39">
        <v>11026</v>
      </c>
      <c r="L14" s="39">
        <v>26581</v>
      </c>
      <c r="M14" s="39">
        <v>23363</v>
      </c>
      <c r="N14" s="19">
        <v>19773</v>
      </c>
      <c r="O14" s="35">
        <f>SUM(P14:S14)</f>
        <v>63744</v>
      </c>
      <c r="P14" s="19">
        <v>17988</v>
      </c>
      <c r="Q14" s="19">
        <v>16213</v>
      </c>
      <c r="R14" s="19">
        <v>17887</v>
      </c>
      <c r="S14" s="19">
        <v>11656</v>
      </c>
      <c r="T14" s="35">
        <f>SUM(U14:X14)</f>
        <v>32400</v>
      </c>
      <c r="U14" s="19">
        <v>3189</v>
      </c>
      <c r="V14" s="19">
        <v>11221</v>
      </c>
      <c r="W14" s="19">
        <v>12169</v>
      </c>
      <c r="X14" s="19">
        <v>5821</v>
      </c>
      <c r="Y14" s="35">
        <f>SUM(Z14:AC14)</f>
        <v>-13292.963</v>
      </c>
      <c r="Z14" s="19">
        <v>-13493.532999999999</v>
      </c>
      <c r="AA14" s="19">
        <v>4533.57</v>
      </c>
      <c r="AB14" s="19">
        <v>7968</v>
      </c>
      <c r="AC14" s="19">
        <v>-12301</v>
      </c>
      <c r="AD14" s="35">
        <f>SUM(AE14:AH14)</f>
        <v>1748</v>
      </c>
      <c r="AE14" s="19">
        <v>1748</v>
      </c>
      <c r="AF14" s="19"/>
      <c r="AG14" s="19"/>
      <c r="AH14" s="19"/>
    </row>
    <row r="15" spans="1:34">
      <c r="E15" s="44"/>
      <c r="F15" s="45"/>
      <c r="G15" s="45"/>
      <c r="H15" s="45"/>
      <c r="I15" s="45"/>
      <c r="J15" s="44"/>
      <c r="K15" s="45"/>
      <c r="L15" s="45"/>
      <c r="M15" s="45"/>
      <c r="N15" s="45"/>
      <c r="O15" s="44"/>
      <c r="R15" s="19"/>
      <c r="S15" s="19"/>
      <c r="T15" s="44"/>
      <c r="W15" s="19"/>
      <c r="X15" s="19"/>
      <c r="Y15" s="44"/>
      <c r="AC15" s="19"/>
      <c r="AD15" s="44"/>
      <c r="AH15" s="19"/>
    </row>
    <row r="16" spans="1:34">
      <c r="A16" s="13" t="s">
        <v>95</v>
      </c>
      <c r="B16" s="40"/>
      <c r="C16" s="40"/>
      <c r="D16" s="46"/>
      <c r="E16" s="35">
        <v>743</v>
      </c>
      <c r="F16" s="19">
        <v>1035.375</v>
      </c>
      <c r="G16" s="19">
        <f>'Comprehensive Income'!G24</f>
        <v>-589.875</v>
      </c>
      <c r="H16" s="19">
        <f>'Comprehensive Income'!H24</f>
        <v>222.75</v>
      </c>
      <c r="I16" s="19">
        <f>'Comprehensive Income'!I24</f>
        <v>74.25</v>
      </c>
      <c r="J16" s="47">
        <f>'Comprehensive Income'!J24</f>
        <v>0</v>
      </c>
      <c r="K16" s="19">
        <f>'Comprehensive Income'!K24</f>
        <v>0</v>
      </c>
      <c r="L16" s="19">
        <f>'Comprehensive Income'!L24</f>
        <v>0</v>
      </c>
      <c r="M16" s="19">
        <f>'Comprehensive Income'!M24</f>
        <v>0</v>
      </c>
      <c r="N16" s="19">
        <f>'Comprehensive Income'!N24</f>
        <v>0</v>
      </c>
      <c r="O16" s="47">
        <f>'Comprehensive Income'!O24</f>
        <v>4881</v>
      </c>
      <c r="P16" s="19">
        <f>'Comprehensive Income'!P24</f>
        <v>0</v>
      </c>
      <c r="Q16" s="19">
        <f>'Comprehensive Income'!Q24</f>
        <v>205</v>
      </c>
      <c r="R16" s="19">
        <f>'Comprehensive Income'!R24</f>
        <v>3639</v>
      </c>
      <c r="S16" s="19">
        <f>'Comprehensive Income'!S24</f>
        <v>1037</v>
      </c>
      <c r="T16" s="47">
        <f>'Comprehensive Income'!T24</f>
        <v>4612</v>
      </c>
      <c r="U16" s="19">
        <f>'Comprehensive Income'!U24</f>
        <v>327</v>
      </c>
      <c r="V16" s="19">
        <f>'Comprehensive Income'!V24</f>
        <v>0</v>
      </c>
      <c r="W16" s="19">
        <f>'Comprehensive Income'!W24</f>
        <v>0</v>
      </c>
      <c r="X16" s="19">
        <f>'Comprehensive Income'!X24</f>
        <v>4285</v>
      </c>
      <c r="Y16" s="47">
        <f>'Comprehensive Income'!Y24</f>
        <v>2699</v>
      </c>
      <c r="Z16" s="19">
        <v>357</v>
      </c>
      <c r="AA16" s="19">
        <v>113</v>
      </c>
      <c r="AB16" s="19">
        <v>140</v>
      </c>
      <c r="AC16" s="19">
        <f>'Comprehensive Income'!AC24</f>
        <v>2089</v>
      </c>
      <c r="AD16" s="47">
        <f>'Comprehensive Income'!AD24</f>
        <v>0</v>
      </c>
      <c r="AE16" s="19">
        <v>0</v>
      </c>
      <c r="AF16" s="19"/>
      <c r="AG16" s="19"/>
      <c r="AH16" s="19"/>
    </row>
    <row r="17" spans="2:19">
      <c r="B17" s="23"/>
      <c r="C17" s="23"/>
      <c r="D17" s="23"/>
      <c r="M17" s="18"/>
      <c r="R17" s="38"/>
      <c r="S17" s="19"/>
    </row>
    <row r="18" spans="2:19">
      <c r="E18" s="48"/>
      <c r="F18" s="48"/>
      <c r="G18" s="48"/>
      <c r="H18" s="18"/>
      <c r="M18" s="49"/>
    </row>
    <row r="19" spans="2:19">
      <c r="E19" s="23"/>
      <c r="F19" s="23"/>
      <c r="G19" s="23"/>
      <c r="H19" s="23"/>
      <c r="I19" s="23"/>
      <c r="J19" s="23"/>
      <c r="K19" s="23"/>
      <c r="M19" s="18"/>
    </row>
    <row r="20" spans="2:19">
      <c r="M20" s="18"/>
    </row>
    <row r="21" spans="2:19">
      <c r="M21" s="25"/>
    </row>
    <row r="22" spans="2:19">
      <c r="M22" s="50"/>
    </row>
    <row r="23" spans="2:19">
      <c r="M23" s="23"/>
    </row>
    <row r="24" spans="2:19">
      <c r="M24" s="25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7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F10" sqref="AF10"/>
    </sheetView>
  </sheetViews>
  <sheetFormatPr defaultColWidth="8.85546875" defaultRowHeight="12.75" outlineLevelCol="1"/>
  <cols>
    <col min="1" max="1" width="32" style="13" bestFit="1" customWidth="1"/>
    <col min="2" max="3" width="10.7109375" style="13" hidden="1" customWidth="1" outlineLevel="1"/>
    <col min="4" max="5" width="11.5703125" style="13" hidden="1" customWidth="1" outlineLevel="1"/>
    <col min="6" max="6" width="9.7109375" style="13" hidden="1" customWidth="1" outlineLevel="1"/>
    <col min="7" max="8" width="10.140625" style="13" hidden="1" customWidth="1" outlineLevel="1"/>
    <col min="9" max="10" width="10.42578125" style="13" hidden="1" customWidth="1" outlineLevel="1"/>
    <col min="11" max="13" width="10.140625" style="13" hidden="1" customWidth="1" outlineLevel="1"/>
    <col min="14" max="14" width="10.28515625" style="13" hidden="1" customWidth="1" outlineLevel="1"/>
    <col min="15" max="15" width="11.7109375" style="13" hidden="1" customWidth="1" outlineLevel="1"/>
    <col min="16" max="16" width="9.85546875" style="13" hidden="1" customWidth="1" outlineLevel="1"/>
    <col min="17" max="17" width="9.42578125" style="13" hidden="1" customWidth="1" outlineLevel="1"/>
    <col min="18" max="20" width="0" style="13" hidden="1" customWidth="1" outlineLevel="1"/>
    <col min="21" max="24" width="10.28515625" style="13" hidden="1" customWidth="1" outlineLevel="1"/>
    <col min="25" max="25" width="11.28515625" style="13" bestFit="1" customWidth="1" collapsed="1"/>
    <col min="26" max="26" width="11.42578125" style="13" bestFit="1" customWidth="1"/>
    <col min="27" max="29" width="10.28515625" style="13" bestFit="1" customWidth="1"/>
    <col min="30" max="30" width="8.85546875" style="13"/>
    <col min="31" max="31" width="11.28515625" style="13" bestFit="1" customWidth="1"/>
    <col min="32" max="16384" width="8.85546875" style="13"/>
  </cols>
  <sheetData>
    <row r="2" spans="1:34">
      <c r="A2" s="10" t="s">
        <v>21</v>
      </c>
      <c r="B2" s="11" t="s">
        <v>12</v>
      </c>
      <c r="C2" s="11" t="s">
        <v>10</v>
      </c>
      <c r="D2" s="12">
        <v>2011</v>
      </c>
      <c r="E2" s="11" t="s">
        <v>13</v>
      </c>
      <c r="F2" s="51" t="s">
        <v>13</v>
      </c>
      <c r="G2" s="51" t="s">
        <v>13</v>
      </c>
      <c r="H2" s="51" t="s">
        <v>13</v>
      </c>
      <c r="I2" s="51" t="s">
        <v>13</v>
      </c>
      <c r="J2" s="11" t="s">
        <v>94</v>
      </c>
      <c r="K2" s="51" t="s">
        <v>94</v>
      </c>
      <c r="L2" s="51" t="s">
        <v>94</v>
      </c>
      <c r="M2" s="51" t="s">
        <v>94</v>
      </c>
      <c r="N2" s="51" t="s">
        <v>94</v>
      </c>
      <c r="O2" s="11" t="s">
        <v>102</v>
      </c>
      <c r="P2" s="51" t="s">
        <v>102</v>
      </c>
      <c r="Q2" s="51" t="s">
        <v>102</v>
      </c>
      <c r="R2" s="51" t="s">
        <v>102</v>
      </c>
      <c r="S2" s="51" t="s">
        <v>102</v>
      </c>
      <c r="T2" s="11" t="s">
        <v>115</v>
      </c>
      <c r="U2" s="51" t="s">
        <v>115</v>
      </c>
      <c r="V2" s="51" t="s">
        <v>115</v>
      </c>
      <c r="W2" s="51" t="s">
        <v>115</v>
      </c>
      <c r="X2" s="51" t="s">
        <v>115</v>
      </c>
      <c r="Y2" s="11">
        <v>2016</v>
      </c>
      <c r="Z2" s="51">
        <v>2016</v>
      </c>
      <c r="AA2" s="51">
        <v>2016</v>
      </c>
      <c r="AB2" s="51">
        <v>2016</v>
      </c>
      <c r="AC2" s="51">
        <v>2016</v>
      </c>
      <c r="AD2" s="11">
        <v>2017</v>
      </c>
      <c r="AE2" s="51">
        <v>2017</v>
      </c>
      <c r="AF2" s="51">
        <v>2017</v>
      </c>
      <c r="AG2" s="51">
        <v>2017</v>
      </c>
      <c r="AH2" s="51">
        <v>2017</v>
      </c>
    </row>
    <row r="3" spans="1:34">
      <c r="A3" s="14" t="s">
        <v>28</v>
      </c>
      <c r="B3" s="15" t="s">
        <v>11</v>
      </c>
      <c r="C3" s="15" t="s">
        <v>11</v>
      </c>
      <c r="D3" s="16" t="s">
        <v>11</v>
      </c>
      <c r="E3" s="15" t="s">
        <v>11</v>
      </c>
      <c r="F3" s="52" t="s">
        <v>90</v>
      </c>
      <c r="G3" s="52" t="s">
        <v>91</v>
      </c>
      <c r="H3" s="52" t="s">
        <v>92</v>
      </c>
      <c r="I3" s="52" t="s">
        <v>93</v>
      </c>
      <c r="J3" s="15" t="s">
        <v>11</v>
      </c>
      <c r="K3" s="52" t="s">
        <v>90</v>
      </c>
      <c r="L3" s="52" t="s">
        <v>91</v>
      </c>
      <c r="M3" s="52" t="s">
        <v>92</v>
      </c>
      <c r="N3" s="52" t="s">
        <v>93</v>
      </c>
      <c r="O3" s="17" t="s">
        <v>106</v>
      </c>
      <c r="P3" s="52" t="s">
        <v>90</v>
      </c>
      <c r="Q3" s="52" t="s">
        <v>91</v>
      </c>
      <c r="R3" s="52" t="s">
        <v>92</v>
      </c>
      <c r="S3" s="52" t="s">
        <v>93</v>
      </c>
      <c r="T3" s="17" t="s">
        <v>106</v>
      </c>
      <c r="U3" s="52" t="s">
        <v>90</v>
      </c>
      <c r="V3" s="52" t="s">
        <v>91</v>
      </c>
      <c r="W3" s="52" t="s">
        <v>92</v>
      </c>
      <c r="X3" s="52" t="s">
        <v>93</v>
      </c>
      <c r="Y3" s="17" t="s">
        <v>106</v>
      </c>
      <c r="Z3" s="52" t="s">
        <v>90</v>
      </c>
      <c r="AA3" s="52" t="s">
        <v>91</v>
      </c>
      <c r="AB3" s="52" t="s">
        <v>92</v>
      </c>
      <c r="AC3" s="52" t="s">
        <v>93</v>
      </c>
      <c r="AD3" s="17" t="s">
        <v>106</v>
      </c>
      <c r="AE3" s="52" t="s">
        <v>90</v>
      </c>
      <c r="AF3" s="52" t="s">
        <v>91</v>
      </c>
      <c r="AG3" s="52" t="s">
        <v>92</v>
      </c>
      <c r="AH3" s="52" t="s">
        <v>93</v>
      </c>
    </row>
    <row r="4" spans="1:34">
      <c r="A4" s="13" t="s">
        <v>29</v>
      </c>
      <c r="B4" s="18">
        <v>112939</v>
      </c>
      <c r="C4" s="18">
        <v>131185</v>
      </c>
      <c r="D4" s="18">
        <v>146076.6</v>
      </c>
      <c r="E4" s="18">
        <f>SUM(F4:I4)</f>
        <v>146669.40300028998</v>
      </c>
      <c r="F4" s="19">
        <v>32919.399452919992</v>
      </c>
      <c r="G4" s="19">
        <v>36320.003547370005</v>
      </c>
      <c r="H4" s="19">
        <v>38680</v>
      </c>
      <c r="I4" s="19">
        <v>38750</v>
      </c>
      <c r="J4" s="18">
        <f>SUM(K4:N4)</f>
        <v>143731.4</v>
      </c>
      <c r="K4" s="19">
        <v>33289.4</v>
      </c>
      <c r="L4" s="19">
        <v>36151</v>
      </c>
      <c r="M4" s="19">
        <v>37469</v>
      </c>
      <c r="N4" s="19">
        <v>36822</v>
      </c>
      <c r="O4" s="18">
        <f>SUM(P4:S4)</f>
        <v>132696.58708545001</v>
      </c>
      <c r="P4" s="19">
        <v>31366</v>
      </c>
      <c r="Q4" s="19">
        <v>34239.987085449997</v>
      </c>
      <c r="R4" s="19">
        <v>34282.400000000001</v>
      </c>
      <c r="S4" s="19">
        <v>32808.199999999997</v>
      </c>
      <c r="T4" s="18">
        <f>SUM(U4:X4)-1</f>
        <v>105345</v>
      </c>
      <c r="U4" s="19">
        <v>26631</v>
      </c>
      <c r="V4" s="19">
        <v>27013</v>
      </c>
      <c r="W4" s="19">
        <v>26530</v>
      </c>
      <c r="X4" s="19">
        <v>25172</v>
      </c>
      <c r="Y4" s="18">
        <f>SUM(Z4:AC4)</f>
        <v>86634.377448500003</v>
      </c>
      <c r="Z4" s="19">
        <v>21702.609896000002</v>
      </c>
      <c r="AA4" s="19">
        <v>21680.767552500001</v>
      </c>
      <c r="AB4" s="19">
        <v>21756</v>
      </c>
      <c r="AC4" s="19">
        <v>21495</v>
      </c>
      <c r="AD4" s="18">
        <f>SUM(AE4:AH4)</f>
        <v>19630</v>
      </c>
      <c r="AE4" s="19">
        <v>19630</v>
      </c>
    </row>
    <row r="5" spans="1:34">
      <c r="A5" s="13" t="s">
        <v>30</v>
      </c>
      <c r="B5" s="18">
        <v>13506</v>
      </c>
      <c r="C5" s="18">
        <v>13790</v>
      </c>
      <c r="D5" s="18">
        <v>14063.721</v>
      </c>
      <c r="E5" s="18">
        <f t="shared" ref="E5:E7" si="0">SUM(F5:I5)</f>
        <v>18754.8</v>
      </c>
      <c r="F5" s="19">
        <v>4112.3999999999996</v>
      </c>
      <c r="G5" s="19">
        <v>4247.3999999999996</v>
      </c>
      <c r="H5" s="19">
        <v>4743</v>
      </c>
      <c r="I5" s="19">
        <v>5652</v>
      </c>
      <c r="J5" s="18">
        <f t="shared" ref="J5:J7" si="1">SUM(K5:N5)</f>
        <v>26232.400000000001</v>
      </c>
      <c r="K5" s="19">
        <v>5672.4</v>
      </c>
      <c r="L5" s="19">
        <v>5932</v>
      </c>
      <c r="M5" s="19">
        <v>6796</v>
      </c>
      <c r="N5" s="19">
        <v>7832</v>
      </c>
      <c r="O5" s="18">
        <f t="shared" ref="O5:O7" si="2">SUM(P5:S5)</f>
        <v>33130.863154450002</v>
      </c>
      <c r="P5" s="19">
        <v>8326</v>
      </c>
      <c r="Q5" s="19">
        <v>8367.8631544500004</v>
      </c>
      <c r="R5" s="19">
        <v>8812</v>
      </c>
      <c r="S5" s="19">
        <v>7625</v>
      </c>
      <c r="T5" s="18">
        <f t="shared" ref="T5:T7" si="3">SUM(U5:X5)</f>
        <v>39278</v>
      </c>
      <c r="U5" s="19">
        <v>9580</v>
      </c>
      <c r="V5" s="19">
        <v>9873</v>
      </c>
      <c r="W5" s="19">
        <v>10051</v>
      </c>
      <c r="X5" s="19">
        <v>9774</v>
      </c>
      <c r="Y5" s="18">
        <f t="shared" ref="Y5:Y7" si="4">SUM(Z5:AC5)</f>
        <v>41338.857761129999</v>
      </c>
      <c r="Z5" s="19">
        <v>9487.3924540000007</v>
      </c>
      <c r="AA5" s="19">
        <v>10244.465307130002</v>
      </c>
      <c r="AB5" s="19">
        <v>10749</v>
      </c>
      <c r="AC5" s="19">
        <v>10858</v>
      </c>
      <c r="AD5" s="18">
        <f t="shared" ref="AD5:AD7" si="5">SUM(AE5:AH5)</f>
        <v>10999</v>
      </c>
      <c r="AE5" s="19">
        <v>10999</v>
      </c>
    </row>
    <row r="6" spans="1:34">
      <c r="A6" s="13" t="s">
        <v>31</v>
      </c>
      <c r="B6" s="18">
        <v>3033</v>
      </c>
      <c r="C6" s="18">
        <v>6946</v>
      </c>
      <c r="D6" s="18">
        <v>14531.776</v>
      </c>
      <c r="E6" s="18">
        <f t="shared" si="0"/>
        <v>15195.15095911</v>
      </c>
      <c r="F6" s="19">
        <v>3858</v>
      </c>
      <c r="G6" s="19">
        <v>3425.1509591100003</v>
      </c>
      <c r="H6" s="19">
        <v>3652</v>
      </c>
      <c r="I6" s="19">
        <v>4260</v>
      </c>
      <c r="J6" s="18">
        <f t="shared" si="1"/>
        <v>17426.2</v>
      </c>
      <c r="K6" s="19">
        <v>3923</v>
      </c>
      <c r="L6" s="19">
        <v>4152.2</v>
      </c>
      <c r="M6" s="19">
        <v>4481</v>
      </c>
      <c r="N6" s="19">
        <v>4870</v>
      </c>
      <c r="O6" s="18">
        <f t="shared" si="2"/>
        <v>16566.90933373</v>
      </c>
      <c r="P6" s="19">
        <v>4274</v>
      </c>
      <c r="Q6" s="19">
        <v>4236.9093337300001</v>
      </c>
      <c r="R6" s="19">
        <v>3955</v>
      </c>
      <c r="S6" s="19">
        <v>4101</v>
      </c>
      <c r="T6" s="18">
        <f t="shared" si="3"/>
        <v>12649</v>
      </c>
      <c r="U6" s="19">
        <v>3541</v>
      </c>
      <c r="V6" s="19">
        <v>3198</v>
      </c>
      <c r="W6" s="19">
        <v>3023</v>
      </c>
      <c r="X6" s="19">
        <v>2887</v>
      </c>
      <c r="Y6" s="18">
        <f t="shared" si="4"/>
        <v>9349.8097225000001</v>
      </c>
      <c r="Z6" s="19">
        <v>2324.367956</v>
      </c>
      <c r="AA6" s="19">
        <v>2222.9417665000001</v>
      </c>
      <c r="AB6" s="19">
        <v>2397</v>
      </c>
      <c r="AC6" s="19">
        <v>2405.5</v>
      </c>
      <c r="AD6" s="18">
        <f t="shared" si="5"/>
        <v>2391</v>
      </c>
      <c r="AE6" s="19">
        <v>2391</v>
      </c>
    </row>
    <row r="7" spans="1:34">
      <c r="A7" s="13" t="s">
        <v>32</v>
      </c>
      <c r="B7" s="18">
        <v>874</v>
      </c>
      <c r="C7" s="18">
        <v>567</v>
      </c>
      <c r="D7" s="18">
        <v>4114.1379999999999</v>
      </c>
      <c r="E7" s="18">
        <f t="shared" si="0"/>
        <v>1384.63338576</v>
      </c>
      <c r="F7" s="19">
        <v>508</v>
      </c>
      <c r="G7" s="19">
        <v>390.63338576000001</v>
      </c>
      <c r="H7" s="19">
        <v>248</v>
      </c>
      <c r="I7" s="19">
        <v>238</v>
      </c>
      <c r="J7" s="18">
        <f t="shared" si="1"/>
        <v>209.4</v>
      </c>
      <c r="K7" s="19">
        <v>168.4</v>
      </c>
      <c r="L7" s="39">
        <v>36</v>
      </c>
      <c r="M7" s="39">
        <v>3</v>
      </c>
      <c r="N7" s="39">
        <v>2</v>
      </c>
      <c r="O7" s="18">
        <f t="shared" si="2"/>
        <v>5186.1901824899996</v>
      </c>
      <c r="P7" s="19">
        <v>141</v>
      </c>
      <c r="Q7" s="39">
        <v>1189.8901824899999</v>
      </c>
      <c r="R7" s="39">
        <v>2116</v>
      </c>
      <c r="S7" s="39">
        <v>1739.3</v>
      </c>
      <c r="T7" s="18">
        <f t="shared" si="3"/>
        <v>11152</v>
      </c>
      <c r="U7" s="19">
        <v>3333</v>
      </c>
      <c r="V7" s="39">
        <v>2896</v>
      </c>
      <c r="W7" s="39">
        <v>3152</v>
      </c>
      <c r="X7" s="39">
        <v>1771</v>
      </c>
      <c r="Y7" s="18">
        <f t="shared" si="4"/>
        <v>9713.4827354999998</v>
      </c>
      <c r="Z7" s="19">
        <v>1955.3546710000001</v>
      </c>
      <c r="AA7" s="19">
        <v>2264.6280644999997</v>
      </c>
      <c r="AB7" s="19">
        <v>2029</v>
      </c>
      <c r="AC7" s="39">
        <v>3464.5</v>
      </c>
      <c r="AD7" s="18">
        <f t="shared" si="5"/>
        <v>2497</v>
      </c>
      <c r="AE7" s="39">
        <v>2497</v>
      </c>
    </row>
    <row r="8" spans="1:34" s="44" customFormat="1">
      <c r="A8" s="44" t="s">
        <v>33</v>
      </c>
      <c r="B8" s="35">
        <f t="shared" ref="B8:S8" si="6">SUM(B4:B7)</f>
        <v>130352</v>
      </c>
      <c r="C8" s="35">
        <f t="shared" si="6"/>
        <v>152488</v>
      </c>
      <c r="D8" s="35">
        <f t="shared" si="6"/>
        <v>178786.23500000002</v>
      </c>
      <c r="E8" s="35">
        <f t="shared" si="6"/>
        <v>182003.98734515999</v>
      </c>
      <c r="F8" s="47">
        <f t="shared" si="6"/>
        <v>41397.799452919993</v>
      </c>
      <c r="G8" s="47">
        <f t="shared" si="6"/>
        <v>44383.187892240006</v>
      </c>
      <c r="H8" s="47">
        <f t="shared" si="6"/>
        <v>47323</v>
      </c>
      <c r="I8" s="47">
        <f t="shared" si="6"/>
        <v>48900</v>
      </c>
      <c r="J8" s="35">
        <f t="shared" si="6"/>
        <v>187599.4</v>
      </c>
      <c r="K8" s="47">
        <f t="shared" si="6"/>
        <v>43053.200000000004</v>
      </c>
      <c r="L8" s="47">
        <f t="shared" si="6"/>
        <v>46271.199999999997</v>
      </c>
      <c r="M8" s="53">
        <f t="shared" si="6"/>
        <v>48749</v>
      </c>
      <c r="N8" s="53">
        <f t="shared" si="6"/>
        <v>49526</v>
      </c>
      <c r="O8" s="35">
        <f t="shared" si="6"/>
        <v>187580.54975612002</v>
      </c>
      <c r="P8" s="47">
        <f t="shared" si="6"/>
        <v>44107</v>
      </c>
      <c r="Q8" s="47">
        <f t="shared" si="6"/>
        <v>48034.649756120001</v>
      </c>
      <c r="R8" s="53">
        <f>SUM(R4:R7)</f>
        <v>49165.4</v>
      </c>
      <c r="S8" s="53">
        <f t="shared" si="6"/>
        <v>46273.5</v>
      </c>
      <c r="T8" s="35">
        <f t="shared" ref="T8:V8" si="7">SUM(T4:T7)</f>
        <v>168424</v>
      </c>
      <c r="U8" s="47">
        <f t="shared" si="7"/>
        <v>43085</v>
      </c>
      <c r="V8" s="47">
        <f t="shared" si="7"/>
        <v>42980</v>
      </c>
      <c r="W8" s="53">
        <v>42756</v>
      </c>
      <c r="X8" s="53">
        <f t="shared" ref="X8:Z8" si="8">SUM(X4:X7)</f>
        <v>39604</v>
      </c>
      <c r="Y8" s="35">
        <f t="shared" si="8"/>
        <v>147036.52766763</v>
      </c>
      <c r="Z8" s="47">
        <f t="shared" si="8"/>
        <v>35469.724977000005</v>
      </c>
      <c r="AA8" s="47">
        <f t="shared" ref="AA8:AE8" si="9">SUM(AA4:AA7)</f>
        <v>36412.80269063</v>
      </c>
      <c r="AB8" s="47">
        <f t="shared" si="9"/>
        <v>36931</v>
      </c>
      <c r="AC8" s="53">
        <f t="shared" si="9"/>
        <v>38223</v>
      </c>
      <c r="AD8" s="35">
        <f t="shared" si="9"/>
        <v>35517</v>
      </c>
      <c r="AE8" s="53">
        <f t="shared" si="9"/>
        <v>35517</v>
      </c>
    </row>
    <row r="10" spans="1:34">
      <c r="B10" s="23"/>
      <c r="C10" s="23"/>
      <c r="D10" s="23"/>
      <c r="E10" s="23"/>
      <c r="U10" s="18"/>
      <c r="V10" s="18"/>
      <c r="W10" s="18"/>
      <c r="X10" s="18"/>
      <c r="Y10" s="18"/>
      <c r="Z10" s="18"/>
      <c r="AA10" s="18"/>
      <c r="AB10" s="18"/>
      <c r="AC10" s="18"/>
      <c r="AE10" s="18"/>
    </row>
    <row r="12" spans="1:34">
      <c r="Y12" s="23"/>
      <c r="Z12" s="23"/>
      <c r="AA12" s="23"/>
      <c r="AB12" s="23"/>
      <c r="AC12" s="23"/>
      <c r="AD12" s="75"/>
      <c r="AE12" s="23"/>
      <c r="AF12" s="75"/>
    </row>
    <row r="15" spans="1:34">
      <c r="Z15" s="23"/>
      <c r="AA15" s="23"/>
      <c r="AB15" s="23"/>
      <c r="AC15" s="23"/>
      <c r="AD15" s="23"/>
      <c r="AE15" s="23"/>
    </row>
    <row r="17" spans="26:31">
      <c r="Z17" s="23"/>
      <c r="AA17" s="23"/>
      <c r="AB17" s="23"/>
      <c r="AC17" s="23"/>
      <c r="AD17" s="23"/>
      <c r="AE17" s="23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30"/>
  <sheetViews>
    <sheetView workbookViewId="0">
      <pane xSplit="1" ySplit="3" topLeftCell="M10" activePane="bottomRight" state="frozen"/>
      <selection pane="topRight" activeCell="B1" sqref="B1"/>
      <selection pane="bottomLeft" activeCell="A4" sqref="A4"/>
      <selection pane="bottomRight" activeCell="AG16" sqref="AG16"/>
    </sheetView>
  </sheetViews>
  <sheetFormatPr defaultColWidth="8.85546875" defaultRowHeight="12.75" outlineLevelCol="1"/>
  <cols>
    <col min="1" max="1" width="50.7109375" style="13" customWidth="1"/>
    <col min="2" max="3" width="10.85546875" style="13" hidden="1" customWidth="1" outlineLevel="1"/>
    <col min="4" max="5" width="11.7109375" style="13" hidden="1" customWidth="1" outlineLevel="1"/>
    <col min="6" max="7" width="10.85546875" style="45" hidden="1" customWidth="1" outlineLevel="1"/>
    <col min="8" max="9" width="9.85546875" style="45" hidden="1" customWidth="1" outlineLevel="1"/>
    <col min="10" max="10" width="9.7109375" style="13" hidden="1" customWidth="1" outlineLevel="1"/>
    <col min="11" max="11" width="10.85546875" style="45" hidden="1" customWidth="1" outlineLevel="1"/>
    <col min="12" max="12" width="10.7109375" style="45" hidden="1" customWidth="1" outlineLevel="1"/>
    <col min="13" max="14" width="10.85546875" style="45" hidden="1" customWidth="1" outlineLevel="1"/>
    <col min="15" max="15" width="11.28515625" style="44" hidden="1" customWidth="1" outlineLevel="1"/>
    <col min="16" max="19" width="10.85546875" style="45" hidden="1" customWidth="1" outlineLevel="1"/>
    <col min="20" max="20" width="9.42578125" style="13" hidden="1" customWidth="1" outlineLevel="1" collapsed="1"/>
    <col min="21" max="21" width="9.42578125" style="13" hidden="1" customWidth="1" outlineLevel="1"/>
    <col min="22" max="24" width="9" style="13" hidden="1" customWidth="1" outlineLevel="1"/>
    <col min="25" max="25" width="9.42578125" style="13" bestFit="1" customWidth="1" collapsed="1"/>
    <col min="26" max="28" width="9.42578125" style="13" bestFit="1" customWidth="1"/>
    <col min="29" max="29" width="9" style="13" bestFit="1" customWidth="1"/>
    <col min="30" max="33" width="9.42578125" style="13" bestFit="1" customWidth="1"/>
    <col min="34" max="34" width="9" style="13" bestFit="1" customWidth="1"/>
    <col min="35" max="16384" width="8.85546875" style="13"/>
  </cols>
  <sheetData>
    <row r="2" spans="1:34">
      <c r="A2" s="10" t="s">
        <v>34</v>
      </c>
      <c r="B2" s="11" t="s">
        <v>12</v>
      </c>
      <c r="C2" s="11" t="s">
        <v>10</v>
      </c>
      <c r="D2" s="12">
        <v>2011</v>
      </c>
      <c r="E2" s="11" t="s">
        <v>13</v>
      </c>
      <c r="F2" s="51" t="s">
        <v>13</v>
      </c>
      <c r="G2" s="51" t="s">
        <v>13</v>
      </c>
      <c r="H2" s="51" t="s">
        <v>13</v>
      </c>
      <c r="I2" s="51" t="s">
        <v>13</v>
      </c>
      <c r="J2" s="11" t="s">
        <v>94</v>
      </c>
      <c r="K2" s="51" t="s">
        <v>94</v>
      </c>
      <c r="L2" s="51" t="s">
        <v>94</v>
      </c>
      <c r="M2" s="51" t="s">
        <v>94</v>
      </c>
      <c r="N2" s="51" t="s">
        <v>94</v>
      </c>
      <c r="O2" s="11" t="s">
        <v>102</v>
      </c>
      <c r="P2" s="51" t="s">
        <v>102</v>
      </c>
      <c r="Q2" s="51" t="s">
        <v>102</v>
      </c>
      <c r="R2" s="51" t="s">
        <v>102</v>
      </c>
      <c r="S2" s="51" t="s">
        <v>102</v>
      </c>
      <c r="T2" s="11" t="s">
        <v>115</v>
      </c>
      <c r="U2" s="51" t="s">
        <v>115</v>
      </c>
      <c r="V2" s="51" t="s">
        <v>115</v>
      </c>
      <c r="W2" s="51" t="s">
        <v>115</v>
      </c>
      <c r="X2" s="51" t="s">
        <v>115</v>
      </c>
      <c r="Y2" s="11">
        <v>2016</v>
      </c>
      <c r="Z2" s="51">
        <v>2016</v>
      </c>
      <c r="AA2" s="51">
        <v>2016</v>
      </c>
      <c r="AB2" s="51">
        <v>2016</v>
      </c>
      <c r="AC2" s="51">
        <v>2016</v>
      </c>
      <c r="AD2" s="11">
        <v>2017</v>
      </c>
      <c r="AE2" s="51">
        <v>2017</v>
      </c>
      <c r="AF2" s="51">
        <v>2017</v>
      </c>
      <c r="AG2" s="51">
        <v>2017</v>
      </c>
      <c r="AH2" s="51">
        <v>2017</v>
      </c>
    </row>
    <row r="3" spans="1:34">
      <c r="A3" s="14" t="s">
        <v>35</v>
      </c>
      <c r="B3" s="15" t="s">
        <v>11</v>
      </c>
      <c r="C3" s="15" t="s">
        <v>11</v>
      </c>
      <c r="D3" s="16" t="s">
        <v>11</v>
      </c>
      <c r="E3" s="15" t="s">
        <v>11</v>
      </c>
      <c r="F3" s="52" t="s">
        <v>90</v>
      </c>
      <c r="G3" s="52" t="s">
        <v>91</v>
      </c>
      <c r="H3" s="52" t="s">
        <v>92</v>
      </c>
      <c r="I3" s="52" t="s">
        <v>93</v>
      </c>
      <c r="J3" s="15" t="s">
        <v>11</v>
      </c>
      <c r="K3" s="52" t="s">
        <v>90</v>
      </c>
      <c r="L3" s="52" t="s">
        <v>91</v>
      </c>
      <c r="M3" s="52" t="s">
        <v>92</v>
      </c>
      <c r="N3" s="52" t="s">
        <v>93</v>
      </c>
      <c r="O3" s="17" t="s">
        <v>106</v>
      </c>
      <c r="P3" s="52" t="s">
        <v>90</v>
      </c>
      <c r="Q3" s="52" t="s">
        <v>91</v>
      </c>
      <c r="R3" s="52" t="s">
        <v>92</v>
      </c>
      <c r="S3" s="52" t="s">
        <v>93</v>
      </c>
      <c r="T3" s="17" t="s">
        <v>106</v>
      </c>
      <c r="U3" s="52" t="s">
        <v>90</v>
      </c>
      <c r="V3" s="52" t="s">
        <v>91</v>
      </c>
      <c r="W3" s="52" t="s">
        <v>117</v>
      </c>
      <c r="X3" s="52" t="s">
        <v>93</v>
      </c>
      <c r="Y3" s="17" t="s">
        <v>106</v>
      </c>
      <c r="Z3" s="52" t="s">
        <v>90</v>
      </c>
      <c r="AA3" s="52" t="s">
        <v>91</v>
      </c>
      <c r="AB3" s="52" t="s">
        <v>92</v>
      </c>
      <c r="AC3" s="52" t="s">
        <v>93</v>
      </c>
      <c r="AD3" s="17" t="s">
        <v>106</v>
      </c>
      <c r="AE3" s="52" t="s">
        <v>90</v>
      </c>
      <c r="AF3" s="52" t="s">
        <v>91</v>
      </c>
      <c r="AG3" s="52" t="s">
        <v>92</v>
      </c>
      <c r="AH3" s="52" t="s">
        <v>93</v>
      </c>
    </row>
    <row r="4" spans="1:34">
      <c r="A4" s="13" t="s">
        <v>21</v>
      </c>
      <c r="B4" s="18">
        <v>130352</v>
      </c>
      <c r="C4" s="18">
        <v>152488</v>
      </c>
      <c r="D4" s="18">
        <v>178786.23499999999</v>
      </c>
      <c r="E4" s="18">
        <v>182003.50357460001</v>
      </c>
      <c r="F4" s="19">
        <v>41397.369453419997</v>
      </c>
      <c r="G4" s="19">
        <v>44382.630546580003</v>
      </c>
      <c r="H4" s="19">
        <v>47323</v>
      </c>
      <c r="I4" s="19">
        <v>48900</v>
      </c>
      <c r="J4" s="18">
        <f>SUM(K4:N4)</f>
        <v>187599.4</v>
      </c>
      <c r="K4" s="19">
        <v>43053.4</v>
      </c>
      <c r="L4" s="19">
        <v>46271</v>
      </c>
      <c r="M4" s="19">
        <v>48749</v>
      </c>
      <c r="N4" s="19">
        <v>49526</v>
      </c>
      <c r="O4" s="18">
        <f>SUM(P4:S4)</f>
        <v>187580</v>
      </c>
      <c r="P4" s="19">
        <v>44107</v>
      </c>
      <c r="Q4" s="19">
        <v>48035</v>
      </c>
      <c r="R4" s="19">
        <v>49165</v>
      </c>
      <c r="S4" s="19">
        <v>46273</v>
      </c>
      <c r="T4" s="18">
        <f>SUM(U4:X4)</f>
        <v>168424</v>
      </c>
      <c r="U4" s="19">
        <v>43085</v>
      </c>
      <c r="V4" s="19">
        <v>42979.5</v>
      </c>
      <c r="W4" s="19">
        <v>42755.5</v>
      </c>
      <c r="X4" s="19">
        <v>39604</v>
      </c>
      <c r="Y4" s="18">
        <f>SUM(Z4:AC4)</f>
        <v>147036.52799999999</v>
      </c>
      <c r="Z4" s="19">
        <v>35469.724999999999</v>
      </c>
      <c r="AA4" s="19">
        <v>36412.803000000007</v>
      </c>
      <c r="AB4" s="19">
        <v>36931</v>
      </c>
      <c r="AC4" s="19">
        <v>38223</v>
      </c>
      <c r="AD4" s="18">
        <f>SUM(AE4:AH4)</f>
        <v>35517</v>
      </c>
      <c r="AE4" s="19">
        <v>35517</v>
      </c>
      <c r="AF4" s="19"/>
      <c r="AG4" s="19"/>
      <c r="AH4" s="19"/>
    </row>
    <row r="5" spans="1:34">
      <c r="A5" s="13" t="s">
        <v>36</v>
      </c>
      <c r="B5" s="18">
        <v>-53716</v>
      </c>
      <c r="C5" s="18">
        <v>-58356</v>
      </c>
      <c r="D5" s="18">
        <v>-69955.346000000005</v>
      </c>
      <c r="E5" s="18">
        <v>-76291.474871669998</v>
      </c>
      <c r="F5" s="19">
        <v>-18137.972494240003</v>
      </c>
      <c r="G5" s="19">
        <v>-18767.027505759997</v>
      </c>
      <c r="H5" s="19">
        <v>-18699.000000000004</v>
      </c>
      <c r="I5" s="19">
        <v>-20688</v>
      </c>
      <c r="J5" s="18">
        <f t="shared" ref="J5:J15" si="0">SUM(K5:N5)</f>
        <v>-79469.504209449995</v>
      </c>
      <c r="K5" s="19">
        <v>-18626.504209449999</v>
      </c>
      <c r="L5" s="19">
        <v>-19752</v>
      </c>
      <c r="M5" s="19">
        <v>-20754</v>
      </c>
      <c r="N5" s="19">
        <v>-20337</v>
      </c>
      <c r="O5" s="18">
        <f>SUM(P5:S5)</f>
        <v>-84220</v>
      </c>
      <c r="P5" s="19">
        <v>-18468</v>
      </c>
      <c r="Q5" s="19">
        <v>-20870</v>
      </c>
      <c r="R5" s="19">
        <v>-22271</v>
      </c>
      <c r="S5" s="19">
        <v>-22611</v>
      </c>
      <c r="T5" s="18">
        <f>SUM(U5:X5)</f>
        <v>-89932.14</v>
      </c>
      <c r="U5" s="19">
        <v>-21122</v>
      </c>
      <c r="V5" s="19">
        <v>-21449.439999999999</v>
      </c>
      <c r="W5" s="19">
        <v>-24418</v>
      </c>
      <c r="X5" s="19">
        <v>-22942.7</v>
      </c>
      <c r="Y5" s="18">
        <f>SUM(Z5:AC5)</f>
        <v>-91865.584000000003</v>
      </c>
      <c r="Z5" s="19">
        <v>-20728.41</v>
      </c>
      <c r="AA5" s="19">
        <v>-23205.674000000003</v>
      </c>
      <c r="AB5" s="19">
        <v>-23456</v>
      </c>
      <c r="AC5" s="19">
        <v>-24475.5</v>
      </c>
      <c r="AD5" s="18">
        <f>SUM(AE5:AH5)</f>
        <v>-22579</v>
      </c>
      <c r="AE5" s="19">
        <v>-22579</v>
      </c>
      <c r="AF5" s="19"/>
      <c r="AG5" s="19"/>
      <c r="AH5" s="19"/>
    </row>
    <row r="6" spans="1:34" s="44" customFormat="1">
      <c r="A6" s="44" t="s">
        <v>37</v>
      </c>
      <c r="B6" s="35">
        <f>SUM(B4:B5)</f>
        <v>76636</v>
      </c>
      <c r="C6" s="35">
        <f>SUM(C4:C5)</f>
        <v>94132</v>
      </c>
      <c r="D6" s="35">
        <v>108830.88899999998</v>
      </c>
      <c r="E6" s="35">
        <v>105712.02870293001</v>
      </c>
      <c r="F6" s="47">
        <f t="shared" ref="F6:K6" si="1">SUM(F4:F5)</f>
        <v>23259.396959179994</v>
      </c>
      <c r="G6" s="47">
        <f t="shared" si="1"/>
        <v>25615.603040820006</v>
      </c>
      <c r="H6" s="47">
        <f t="shared" si="1"/>
        <v>28623.999999999996</v>
      </c>
      <c r="I6" s="47">
        <f t="shared" si="1"/>
        <v>28212</v>
      </c>
      <c r="J6" s="35">
        <f t="shared" si="1"/>
        <v>108129.89579055</v>
      </c>
      <c r="K6" s="47">
        <f t="shared" si="1"/>
        <v>24426.895790550003</v>
      </c>
      <c r="L6" s="47">
        <f t="shared" ref="L6:R6" si="2">SUM(L4:L5)</f>
        <v>26519</v>
      </c>
      <c r="M6" s="47">
        <f t="shared" si="2"/>
        <v>27995</v>
      </c>
      <c r="N6" s="47">
        <f t="shared" si="2"/>
        <v>29189</v>
      </c>
      <c r="O6" s="35">
        <f t="shared" si="2"/>
        <v>103360</v>
      </c>
      <c r="P6" s="47">
        <f t="shared" si="2"/>
        <v>25639</v>
      </c>
      <c r="Q6" s="47">
        <f t="shared" si="2"/>
        <v>27165</v>
      </c>
      <c r="R6" s="47">
        <f t="shared" si="2"/>
        <v>26894</v>
      </c>
      <c r="S6" s="47">
        <f t="shared" ref="S6:W6" si="3">SUM(S4:S5)</f>
        <v>23662</v>
      </c>
      <c r="T6" s="35">
        <f t="shared" si="3"/>
        <v>78491.86</v>
      </c>
      <c r="U6" s="47">
        <f t="shared" si="3"/>
        <v>21963</v>
      </c>
      <c r="V6" s="47">
        <f t="shared" si="3"/>
        <v>21530.06</v>
      </c>
      <c r="W6" s="47">
        <f t="shared" si="3"/>
        <v>18337.5</v>
      </c>
      <c r="X6" s="47">
        <f t="shared" ref="X6:AB6" si="4">SUM(X4:X5)</f>
        <v>16661.3</v>
      </c>
      <c r="Y6" s="35">
        <f t="shared" si="4"/>
        <v>55170.943999999989</v>
      </c>
      <c r="Z6" s="47">
        <f t="shared" si="4"/>
        <v>14741.314999999999</v>
      </c>
      <c r="AA6" s="47">
        <f t="shared" si="4"/>
        <v>13207.129000000004</v>
      </c>
      <c r="AB6" s="47">
        <f t="shared" si="4"/>
        <v>13475</v>
      </c>
      <c r="AC6" s="47">
        <f t="shared" ref="AC6:AG6" si="5">SUM(AC4:AC5)</f>
        <v>13747.5</v>
      </c>
      <c r="AD6" s="35">
        <f t="shared" si="5"/>
        <v>12938</v>
      </c>
      <c r="AE6" s="47">
        <f t="shared" si="5"/>
        <v>12938</v>
      </c>
      <c r="AF6" s="47">
        <f t="shared" si="5"/>
        <v>0</v>
      </c>
      <c r="AG6" s="47">
        <f t="shared" si="5"/>
        <v>0</v>
      </c>
      <c r="AH6" s="47">
        <f t="shared" ref="AH6" si="6">SUM(AH4:AH5)</f>
        <v>0</v>
      </c>
    </row>
    <row r="7" spans="1:34">
      <c r="A7" s="13" t="s">
        <v>38</v>
      </c>
      <c r="B7" s="18">
        <v>-14336</v>
      </c>
      <c r="C7" s="18">
        <v>-16167</v>
      </c>
      <c r="D7" s="18">
        <v>-15762.92</v>
      </c>
      <c r="E7" s="18">
        <v>-17194.651677540001</v>
      </c>
      <c r="F7" s="19">
        <v>-3365.8382986900001</v>
      </c>
      <c r="G7" s="19">
        <v>-3855.1617013099999</v>
      </c>
      <c r="H7" s="19">
        <v>-4887</v>
      </c>
      <c r="I7" s="19">
        <v>-5087</v>
      </c>
      <c r="J7" s="18">
        <f t="shared" si="0"/>
        <v>-16613.8</v>
      </c>
      <c r="K7" s="19">
        <v>-3895.8</v>
      </c>
      <c r="L7" s="19">
        <v>-4229</v>
      </c>
      <c r="M7" s="19">
        <v>-4447</v>
      </c>
      <c r="N7" s="19">
        <v>-4042</v>
      </c>
      <c r="O7" s="18">
        <f>SUM(P7:S7)</f>
        <v>-11548</v>
      </c>
      <c r="P7" s="19">
        <v>-2943</v>
      </c>
      <c r="Q7" s="19">
        <v>-3179</v>
      </c>
      <c r="R7" s="19">
        <v>-2851</v>
      </c>
      <c r="S7" s="19">
        <v>-2575</v>
      </c>
      <c r="T7" s="18">
        <f>SUM(U7:X7)</f>
        <v>-9220.7999999999993</v>
      </c>
      <c r="U7" s="19">
        <v>-2143.4</v>
      </c>
      <c r="V7" s="19">
        <v>-2680</v>
      </c>
      <c r="W7" s="19">
        <v>-2347.4</v>
      </c>
      <c r="X7" s="19">
        <v>-2050</v>
      </c>
      <c r="Y7" s="18">
        <f>SUM(Z7:AC7)</f>
        <v>-10988.624</v>
      </c>
      <c r="Z7" s="19">
        <v>-2512.7800000000002</v>
      </c>
      <c r="AA7" s="19">
        <v>-2477.8439999999996</v>
      </c>
      <c r="AB7" s="19">
        <v>-2701</v>
      </c>
      <c r="AC7" s="19">
        <v>-3297</v>
      </c>
      <c r="AD7" s="18">
        <f>SUM(AE7:AH7)</f>
        <v>-2637</v>
      </c>
      <c r="AE7" s="19">
        <v>-2637</v>
      </c>
      <c r="AF7" s="19"/>
      <c r="AG7" s="19"/>
      <c r="AH7" s="19"/>
    </row>
    <row r="8" spans="1:34">
      <c r="A8" s="13" t="s">
        <v>39</v>
      </c>
      <c r="B8" s="18">
        <v>-8445</v>
      </c>
      <c r="C8" s="18">
        <v>-9741</v>
      </c>
      <c r="D8" s="18">
        <v>-9943.0259999999998</v>
      </c>
      <c r="E8" s="18">
        <v>-11004.899207599999</v>
      </c>
      <c r="F8" s="19">
        <v>-3487.4597345499997</v>
      </c>
      <c r="G8" s="19">
        <v>-1616.5402654500003</v>
      </c>
      <c r="H8" s="19">
        <v>-2978</v>
      </c>
      <c r="I8" s="19">
        <v>-2922.4</v>
      </c>
      <c r="J8" s="18">
        <f t="shared" si="0"/>
        <v>-10016.9</v>
      </c>
      <c r="K8" s="19">
        <v>-2640.9</v>
      </c>
      <c r="L8" s="19">
        <v>-2674</v>
      </c>
      <c r="M8" s="39">
        <v>-2587</v>
      </c>
      <c r="N8" s="19">
        <v>-2115</v>
      </c>
      <c r="O8" s="18">
        <f t="shared" ref="O8:O9" si="7">SUM(P8:S8)</f>
        <v>-10666</v>
      </c>
      <c r="P8" s="39">
        <v>-2402</v>
      </c>
      <c r="Q8" s="39">
        <v>-2847</v>
      </c>
      <c r="R8" s="39">
        <v>-2602</v>
      </c>
      <c r="S8" s="39">
        <v>-2815</v>
      </c>
      <c r="T8" s="18">
        <f t="shared" ref="T8:T9" si="8">SUM(U8:X8)</f>
        <v>-12380.8</v>
      </c>
      <c r="U8" s="39">
        <v>-2951.4</v>
      </c>
      <c r="V8" s="39">
        <v>-2966</v>
      </c>
      <c r="W8" s="39">
        <v>-3028.4</v>
      </c>
      <c r="X8" s="39">
        <v>-3435</v>
      </c>
      <c r="Y8" s="18">
        <f t="shared" ref="Y8:Y9" si="9">SUM(Z8:AC8)</f>
        <v>-14149.284</v>
      </c>
      <c r="Z8" s="39">
        <v>-3121.9340000000002</v>
      </c>
      <c r="AA8" s="39">
        <v>-3204.3499999999995</v>
      </c>
      <c r="AB8" s="39">
        <v>-3029</v>
      </c>
      <c r="AC8" s="39">
        <v>-4794</v>
      </c>
      <c r="AD8" s="18">
        <f t="shared" ref="AD8:AD9" si="10">SUM(AE8:AH8)</f>
        <v>-2977</v>
      </c>
      <c r="AE8" s="39">
        <v>-2977</v>
      </c>
      <c r="AF8" s="39"/>
      <c r="AG8" s="39"/>
      <c r="AH8" s="39"/>
    </row>
    <row r="9" spans="1:34">
      <c r="A9" s="13" t="s">
        <v>40</v>
      </c>
      <c r="B9" s="18">
        <v>-77</v>
      </c>
      <c r="C9" s="18">
        <v>130</v>
      </c>
      <c r="D9" s="18">
        <v>-226.71700000000001</v>
      </c>
      <c r="E9" s="18">
        <v>389.42815151999997</v>
      </c>
      <c r="F9" s="19">
        <v>149</v>
      </c>
      <c r="G9" s="19">
        <v>18</v>
      </c>
      <c r="H9" s="19">
        <v>122</v>
      </c>
      <c r="I9" s="19">
        <v>101</v>
      </c>
      <c r="J9" s="18">
        <f t="shared" si="0"/>
        <v>100.60000000000002</v>
      </c>
      <c r="K9" s="19">
        <v>65.599999999999994</v>
      </c>
      <c r="L9" s="19">
        <v>132</v>
      </c>
      <c r="M9" s="39">
        <v>84</v>
      </c>
      <c r="N9" s="19">
        <v>-181</v>
      </c>
      <c r="O9" s="18">
        <f t="shared" si="7"/>
        <v>-5949</v>
      </c>
      <c r="P9" s="39">
        <v>-439</v>
      </c>
      <c r="Q9" s="39">
        <v>-106</v>
      </c>
      <c r="R9" s="39">
        <v>-3529</v>
      </c>
      <c r="S9" s="39">
        <v>-1875</v>
      </c>
      <c r="T9" s="18">
        <f t="shared" si="8"/>
        <v>-4289.2550000000001</v>
      </c>
      <c r="U9" s="39">
        <v>242.74499999999998</v>
      </c>
      <c r="V9" s="39">
        <f>174-304+263</f>
        <v>133</v>
      </c>
      <c r="W9" s="39">
        <v>-113</v>
      </c>
      <c r="X9" s="39">
        <v>-4552</v>
      </c>
      <c r="Y9" s="18">
        <f t="shared" si="9"/>
        <v>1007.4550000000002</v>
      </c>
      <c r="Z9" s="39">
        <v>-48.848000000000184</v>
      </c>
      <c r="AA9" s="39">
        <v>276.30300000000034</v>
      </c>
      <c r="AB9" s="39">
        <v>170</v>
      </c>
      <c r="AC9" s="39">
        <v>610</v>
      </c>
      <c r="AD9" s="18">
        <f t="shared" si="10"/>
        <v>172</v>
      </c>
      <c r="AE9" s="39">
        <v>172</v>
      </c>
      <c r="AF9" s="39"/>
      <c r="AG9" s="39"/>
      <c r="AH9" s="39"/>
    </row>
    <row r="10" spans="1:34" s="44" customFormat="1">
      <c r="A10" s="44" t="s">
        <v>23</v>
      </c>
      <c r="B10" s="35">
        <f>SUM(B6:B9)</f>
        <v>53778</v>
      </c>
      <c r="C10" s="35">
        <f>SUM(C6:C9)</f>
        <v>68354</v>
      </c>
      <c r="D10" s="35">
        <v>82898.225999999981</v>
      </c>
      <c r="E10" s="35">
        <v>77901.905969310013</v>
      </c>
      <c r="F10" s="47">
        <f t="shared" ref="F10:K10" si="11">SUM(F6:F9)</f>
        <v>16555.098925939994</v>
      </c>
      <c r="G10" s="47">
        <f t="shared" si="11"/>
        <v>20161.901074060006</v>
      </c>
      <c r="H10" s="47">
        <f t="shared" si="11"/>
        <v>20880.999999999996</v>
      </c>
      <c r="I10" s="47">
        <f t="shared" si="11"/>
        <v>20303.599999999999</v>
      </c>
      <c r="J10" s="35">
        <f t="shared" si="11"/>
        <v>81599.795790550008</v>
      </c>
      <c r="K10" s="47">
        <f t="shared" si="11"/>
        <v>17955.795790550001</v>
      </c>
      <c r="L10" s="47">
        <f t="shared" ref="L10:R10" si="12">SUM(L6:L9)</f>
        <v>19748</v>
      </c>
      <c r="M10" s="47">
        <f t="shared" si="12"/>
        <v>21045</v>
      </c>
      <c r="N10" s="47">
        <f t="shared" si="12"/>
        <v>22851</v>
      </c>
      <c r="O10" s="35">
        <f t="shared" si="12"/>
        <v>75197</v>
      </c>
      <c r="P10" s="47">
        <f t="shared" si="12"/>
        <v>19855</v>
      </c>
      <c r="Q10" s="47">
        <f t="shared" si="12"/>
        <v>21033</v>
      </c>
      <c r="R10" s="47">
        <f t="shared" si="12"/>
        <v>17912</v>
      </c>
      <c r="S10" s="47">
        <f t="shared" ref="S10:W10" si="13">SUM(S6:S9)</f>
        <v>16397</v>
      </c>
      <c r="T10" s="35">
        <f t="shared" si="13"/>
        <v>52601.004999999997</v>
      </c>
      <c r="U10" s="47">
        <f t="shared" si="13"/>
        <v>17110.944999999996</v>
      </c>
      <c r="V10" s="47">
        <f t="shared" si="13"/>
        <v>16017.060000000001</v>
      </c>
      <c r="W10" s="47">
        <f t="shared" si="13"/>
        <v>12848.7</v>
      </c>
      <c r="X10" s="47">
        <f t="shared" ref="X10:AB10" si="14">SUM(X6:X9)</f>
        <v>6624.2999999999993</v>
      </c>
      <c r="Y10" s="35">
        <f t="shared" si="14"/>
        <v>31040.490999999995</v>
      </c>
      <c r="Z10" s="47">
        <f t="shared" si="14"/>
        <v>9057.7529999999988</v>
      </c>
      <c r="AA10" s="47">
        <f t="shared" si="14"/>
        <v>7801.2380000000067</v>
      </c>
      <c r="AB10" s="47">
        <f t="shared" si="14"/>
        <v>7915</v>
      </c>
      <c r="AC10" s="47">
        <f t="shared" ref="AC10:AG10" si="15">SUM(AC6:AC9)</f>
        <v>6266.5</v>
      </c>
      <c r="AD10" s="35">
        <f t="shared" si="15"/>
        <v>7496</v>
      </c>
      <c r="AE10" s="47">
        <f t="shared" si="15"/>
        <v>7496</v>
      </c>
      <c r="AF10" s="47">
        <f t="shared" si="15"/>
        <v>0</v>
      </c>
      <c r="AG10" s="47">
        <f t="shared" si="15"/>
        <v>0</v>
      </c>
      <c r="AH10" s="47">
        <f t="shared" ref="AH10" si="16">SUM(AH6:AH9)</f>
        <v>0</v>
      </c>
    </row>
    <row r="11" spans="1:34">
      <c r="A11" s="13" t="s">
        <v>41</v>
      </c>
      <c r="B11" s="18">
        <v>51</v>
      </c>
      <c r="C11" s="18">
        <v>428</v>
      </c>
      <c r="D11" s="18">
        <v>725.28599999999994</v>
      </c>
      <c r="E11" s="18">
        <v>-516.03794416999995</v>
      </c>
      <c r="F11" s="19">
        <v>39.482495139999997</v>
      </c>
      <c r="G11" s="19">
        <v>40</v>
      </c>
      <c r="H11" s="19">
        <v>5</v>
      </c>
      <c r="I11" s="19">
        <v>-601</v>
      </c>
      <c r="J11" s="18">
        <f t="shared" si="0"/>
        <v>-2119</v>
      </c>
      <c r="K11" s="19">
        <v>-612</v>
      </c>
      <c r="L11" s="19">
        <v>-537</v>
      </c>
      <c r="M11" s="39">
        <v>-536</v>
      </c>
      <c r="N11" s="19">
        <v>-434</v>
      </c>
      <c r="O11" s="18">
        <f>SUM(P11:S11)</f>
        <v>-1051.4000000000001</v>
      </c>
      <c r="P11" s="39">
        <v>-280</v>
      </c>
      <c r="Q11" s="39">
        <v>-219</v>
      </c>
      <c r="R11" s="39">
        <v>-245</v>
      </c>
      <c r="S11" s="39">
        <v>-307.39999999999998</v>
      </c>
      <c r="T11" s="18">
        <f>SUM(U11:X11)</f>
        <v>7811.3440000000001</v>
      </c>
      <c r="U11" s="39">
        <v>-323.25600000000003</v>
      </c>
      <c r="V11" s="39">
        <f>-1405.4+304-262</f>
        <v>-1363.4</v>
      </c>
      <c r="W11" s="39">
        <v>6638</v>
      </c>
      <c r="X11" s="39">
        <v>2860</v>
      </c>
      <c r="Y11" s="18">
        <f>SUM(Z11:AC11)</f>
        <v>-8285.0950000000012</v>
      </c>
      <c r="Z11" s="39">
        <v>-749.94999999999982</v>
      </c>
      <c r="AA11" s="39">
        <v>-1834.1450000000004</v>
      </c>
      <c r="AB11" s="39">
        <v>-2321</v>
      </c>
      <c r="AC11" s="39">
        <v>-3380</v>
      </c>
      <c r="AD11" s="18">
        <f>SUM(AE11:AH11)</f>
        <v>-2683.4</v>
      </c>
      <c r="AE11" s="39">
        <v>-2683.4</v>
      </c>
      <c r="AF11" s="39"/>
      <c r="AG11" s="39"/>
      <c r="AH11" s="39"/>
    </row>
    <row r="12" spans="1:34" s="44" customFormat="1">
      <c r="A12" s="44" t="s">
        <v>42</v>
      </c>
      <c r="B12" s="35">
        <f>B10+B11</f>
        <v>53829</v>
      </c>
      <c r="C12" s="35">
        <f>C10+C11</f>
        <v>68782</v>
      </c>
      <c r="D12" s="35">
        <v>83623.511999999973</v>
      </c>
      <c r="E12" s="35">
        <v>77385.868025140007</v>
      </c>
      <c r="F12" s="47">
        <f t="shared" ref="F12:K12" si="17">SUM(F10:F11)</f>
        <v>16594.581421079994</v>
      </c>
      <c r="G12" s="47">
        <f t="shared" si="17"/>
        <v>20201.901074060006</v>
      </c>
      <c r="H12" s="47">
        <f t="shared" si="17"/>
        <v>20885.999999999996</v>
      </c>
      <c r="I12" s="47">
        <f t="shared" si="17"/>
        <v>19702.599999999999</v>
      </c>
      <c r="J12" s="35">
        <f t="shared" si="17"/>
        <v>79480.795790550008</v>
      </c>
      <c r="K12" s="47">
        <f t="shared" si="17"/>
        <v>17343.795790550001</v>
      </c>
      <c r="L12" s="47">
        <f t="shared" ref="L12:R12" si="18">SUM(L10:L11)</f>
        <v>19211</v>
      </c>
      <c r="M12" s="47">
        <f t="shared" si="18"/>
        <v>20509</v>
      </c>
      <c r="N12" s="47">
        <f t="shared" si="18"/>
        <v>22417</v>
      </c>
      <c r="O12" s="35">
        <f t="shared" si="18"/>
        <v>74145.600000000006</v>
      </c>
      <c r="P12" s="47">
        <f t="shared" si="18"/>
        <v>19575</v>
      </c>
      <c r="Q12" s="47">
        <f t="shared" si="18"/>
        <v>20814</v>
      </c>
      <c r="R12" s="47">
        <f t="shared" si="18"/>
        <v>17667</v>
      </c>
      <c r="S12" s="47">
        <f t="shared" ref="S12:W12" si="19">SUM(S10:S11)</f>
        <v>16089.6</v>
      </c>
      <c r="T12" s="35">
        <f t="shared" si="19"/>
        <v>60412.348999999995</v>
      </c>
      <c r="U12" s="47">
        <f t="shared" si="19"/>
        <v>16787.688999999995</v>
      </c>
      <c r="V12" s="47">
        <f t="shared" si="19"/>
        <v>14653.660000000002</v>
      </c>
      <c r="W12" s="47">
        <f t="shared" si="19"/>
        <v>19486.7</v>
      </c>
      <c r="X12" s="47">
        <f t="shared" ref="X12:AB12" si="20">SUM(X10:X11)</f>
        <v>9484.2999999999993</v>
      </c>
      <c r="Y12" s="35">
        <f t="shared" si="20"/>
        <v>22755.395999999993</v>
      </c>
      <c r="Z12" s="47">
        <f t="shared" si="20"/>
        <v>8307.8029999999999</v>
      </c>
      <c r="AA12" s="47">
        <f t="shared" si="20"/>
        <v>5967.0930000000062</v>
      </c>
      <c r="AB12" s="47">
        <f t="shared" si="20"/>
        <v>5594</v>
      </c>
      <c r="AC12" s="47">
        <f t="shared" ref="AC12:AG12" si="21">SUM(AC10:AC11)</f>
        <v>2886.5</v>
      </c>
      <c r="AD12" s="35">
        <f t="shared" si="21"/>
        <v>4812.6000000000004</v>
      </c>
      <c r="AE12" s="47">
        <f t="shared" si="21"/>
        <v>4812.6000000000004</v>
      </c>
      <c r="AF12" s="47">
        <f t="shared" si="21"/>
        <v>0</v>
      </c>
      <c r="AG12" s="47">
        <f t="shared" si="21"/>
        <v>0</v>
      </c>
      <c r="AH12" s="47">
        <f t="shared" ref="AH12" si="22">SUM(AH10:AH11)</f>
        <v>0</v>
      </c>
    </row>
    <row r="13" spans="1:34">
      <c r="A13" s="13" t="s">
        <v>43</v>
      </c>
      <c r="B13" s="18">
        <v>-10631</v>
      </c>
      <c r="C13" s="18">
        <v>-14014</v>
      </c>
      <c r="D13" s="18">
        <v>-16765.407999999999</v>
      </c>
      <c r="E13" s="18">
        <v>-15557.86482492</v>
      </c>
      <c r="F13" s="19">
        <v>-3269.3096185599998</v>
      </c>
      <c r="G13" s="19">
        <v>-4101.6903814400002</v>
      </c>
      <c r="H13" s="19">
        <v>-4239</v>
      </c>
      <c r="I13" s="19">
        <v>-3947</v>
      </c>
      <c r="J13" s="18">
        <f t="shared" si="0"/>
        <v>-16089</v>
      </c>
      <c r="K13" s="19">
        <v>-3688</v>
      </c>
      <c r="L13" s="19">
        <v>-3660</v>
      </c>
      <c r="M13" s="39">
        <v>-4588</v>
      </c>
      <c r="N13" s="19">
        <v>-4153</v>
      </c>
      <c r="O13" s="18">
        <f>SUM(P13:S13)</f>
        <v>-15874.5</v>
      </c>
      <c r="P13" s="39">
        <v>-3940</v>
      </c>
      <c r="Q13" s="39">
        <v>-4302</v>
      </c>
      <c r="R13" s="39">
        <v>-4210</v>
      </c>
      <c r="S13" s="39">
        <v>-3422.5</v>
      </c>
      <c r="T13" s="18">
        <f>SUM(U13:X13)</f>
        <v>-13780</v>
      </c>
      <c r="U13" s="39">
        <v>-3554</v>
      </c>
      <c r="V13" s="39">
        <v>-3333</v>
      </c>
      <c r="W13" s="39">
        <v>-4375</v>
      </c>
      <c r="X13" s="39">
        <v>-2518</v>
      </c>
      <c r="Y13" s="18">
        <f>SUM(Z13:AC13)</f>
        <v>-6072</v>
      </c>
      <c r="Z13" s="39">
        <v>-1682.721</v>
      </c>
      <c r="AA13" s="39">
        <v>-1337.279</v>
      </c>
      <c r="AB13" s="39">
        <v>-1216</v>
      </c>
      <c r="AC13" s="39">
        <v>-1836</v>
      </c>
      <c r="AD13" s="18">
        <f>SUM(AE13:AH13)</f>
        <v>-1013.4</v>
      </c>
      <c r="AE13" s="39">
        <v>-1013.4</v>
      </c>
      <c r="AF13" s="39"/>
      <c r="AG13" s="39"/>
      <c r="AH13" s="39"/>
    </row>
    <row r="14" spans="1:34" s="44" customFormat="1">
      <c r="A14" s="44" t="s">
        <v>44</v>
      </c>
      <c r="B14" s="35">
        <v>43197</v>
      </c>
      <c r="C14" s="35">
        <f>C12+C13</f>
        <v>54768</v>
      </c>
      <c r="D14" s="35">
        <v>66858.103999999978</v>
      </c>
      <c r="E14" s="35">
        <f t="shared" ref="E14:M14" si="23">SUM(E12:E13)</f>
        <v>61828.00320022001</v>
      </c>
      <c r="F14" s="47">
        <f t="shared" si="23"/>
        <v>13325.271802519994</v>
      </c>
      <c r="G14" s="47">
        <f t="shared" si="23"/>
        <v>16100.210692620007</v>
      </c>
      <c r="H14" s="47">
        <f>SUM(H12:H13)</f>
        <v>16646.999999999996</v>
      </c>
      <c r="I14" s="47">
        <f t="shared" si="23"/>
        <v>15755.599999999999</v>
      </c>
      <c r="J14" s="35">
        <f t="shared" si="23"/>
        <v>63391.795790550008</v>
      </c>
      <c r="K14" s="47">
        <f t="shared" si="23"/>
        <v>13655.795790550001</v>
      </c>
      <c r="L14" s="47">
        <f t="shared" si="23"/>
        <v>15551</v>
      </c>
      <c r="M14" s="47">
        <f t="shared" si="23"/>
        <v>15921</v>
      </c>
      <c r="N14" s="47">
        <f t="shared" ref="N14:R14" si="24">SUM(N12:N13)</f>
        <v>18264</v>
      </c>
      <c r="O14" s="35">
        <f t="shared" si="24"/>
        <v>58271.100000000006</v>
      </c>
      <c r="P14" s="47">
        <f t="shared" si="24"/>
        <v>15635</v>
      </c>
      <c r="Q14" s="47">
        <f t="shared" si="24"/>
        <v>16512</v>
      </c>
      <c r="R14" s="47">
        <f t="shared" si="24"/>
        <v>13457</v>
      </c>
      <c r="S14" s="47">
        <f t="shared" ref="S14:W14" si="25">SUM(S12:S13)</f>
        <v>12667.1</v>
      </c>
      <c r="T14" s="35">
        <f t="shared" si="25"/>
        <v>46632.348999999995</v>
      </c>
      <c r="U14" s="47">
        <f t="shared" si="25"/>
        <v>13233.688999999995</v>
      </c>
      <c r="V14" s="47">
        <f t="shared" si="25"/>
        <v>11320.660000000002</v>
      </c>
      <c r="W14" s="47">
        <f t="shared" si="25"/>
        <v>15111.7</v>
      </c>
      <c r="X14" s="47">
        <f t="shared" ref="X14:AB14" si="26">SUM(X12:X13)</f>
        <v>6966.2999999999993</v>
      </c>
      <c r="Y14" s="35">
        <f t="shared" si="26"/>
        <v>16683.395999999993</v>
      </c>
      <c r="Z14" s="47">
        <f t="shared" si="26"/>
        <v>6625.0820000000003</v>
      </c>
      <c r="AA14" s="47">
        <f t="shared" si="26"/>
        <v>4629.8140000000058</v>
      </c>
      <c r="AB14" s="47">
        <f t="shared" si="26"/>
        <v>4378</v>
      </c>
      <c r="AC14" s="47">
        <f t="shared" ref="AC14:AG14" si="27">SUM(AC12:AC13)</f>
        <v>1050.5</v>
      </c>
      <c r="AD14" s="35">
        <f t="shared" si="27"/>
        <v>3799.2000000000003</v>
      </c>
      <c r="AE14" s="47">
        <f t="shared" si="27"/>
        <v>3799.2000000000003</v>
      </c>
      <c r="AF14" s="47">
        <f t="shared" si="27"/>
        <v>0</v>
      </c>
      <c r="AG14" s="47">
        <f t="shared" si="27"/>
        <v>0</v>
      </c>
      <c r="AH14" s="47">
        <f t="shared" ref="AH14" si="28">SUM(AH12:AH13)</f>
        <v>0</v>
      </c>
    </row>
    <row r="15" spans="1:34">
      <c r="A15" s="13" t="s">
        <v>45</v>
      </c>
      <c r="B15" s="18">
        <v>0</v>
      </c>
      <c r="C15" s="18">
        <v>0</v>
      </c>
      <c r="D15" s="18">
        <v>0</v>
      </c>
      <c r="E15" s="18">
        <v>0</v>
      </c>
      <c r="F15" s="19">
        <v>0</v>
      </c>
      <c r="G15" s="19">
        <v>0</v>
      </c>
      <c r="H15" s="19">
        <v>0</v>
      </c>
      <c r="I15" s="19">
        <v>0</v>
      </c>
      <c r="J15" s="18">
        <f t="shared" si="0"/>
        <v>0</v>
      </c>
      <c r="K15" s="19">
        <v>0</v>
      </c>
      <c r="L15" s="19"/>
      <c r="T15" s="44"/>
      <c r="U15" s="45"/>
      <c r="V15" s="45"/>
      <c r="W15" s="45"/>
      <c r="X15" s="45"/>
      <c r="Y15" s="44"/>
      <c r="Z15" s="45"/>
      <c r="AA15" s="45"/>
      <c r="AB15" s="45"/>
      <c r="AC15" s="45"/>
      <c r="AD15" s="44"/>
      <c r="AE15" s="45"/>
      <c r="AF15" s="45"/>
      <c r="AG15" s="45"/>
      <c r="AH15" s="45"/>
    </row>
    <row r="16" spans="1:34" s="44" customFormat="1">
      <c r="A16" s="44" t="s">
        <v>46</v>
      </c>
      <c r="B16" s="54">
        <f>B14+B15</f>
        <v>43197</v>
      </c>
      <c r="C16" s="54">
        <f t="shared" ref="C16:D16" si="29">C14+C15</f>
        <v>54768</v>
      </c>
      <c r="D16" s="54">
        <f t="shared" si="29"/>
        <v>66858.103999999978</v>
      </c>
      <c r="E16" s="54">
        <f>E14+E15</f>
        <v>61828.00320022001</v>
      </c>
      <c r="F16" s="53">
        <f t="shared" ref="F16:L16" si="30">F14+F15</f>
        <v>13325.271802519994</v>
      </c>
      <c r="G16" s="53">
        <f t="shared" si="30"/>
        <v>16100.210692620007</v>
      </c>
      <c r="H16" s="53">
        <f t="shared" si="30"/>
        <v>16646.999999999996</v>
      </c>
      <c r="I16" s="53">
        <f t="shared" si="30"/>
        <v>15755.599999999999</v>
      </c>
      <c r="J16" s="54">
        <f t="shared" si="30"/>
        <v>63391.795790550008</v>
      </c>
      <c r="K16" s="53">
        <f t="shared" si="30"/>
        <v>13655.795790550001</v>
      </c>
      <c r="L16" s="53">
        <f t="shared" si="30"/>
        <v>15551</v>
      </c>
      <c r="M16" s="53">
        <f t="shared" ref="M16:R16" si="31">M14+M15</f>
        <v>15921</v>
      </c>
      <c r="N16" s="53">
        <f t="shared" si="31"/>
        <v>18264</v>
      </c>
      <c r="O16" s="54">
        <f t="shared" si="31"/>
        <v>58271.100000000006</v>
      </c>
      <c r="P16" s="53">
        <f t="shared" si="31"/>
        <v>15635</v>
      </c>
      <c r="Q16" s="53">
        <f t="shared" si="31"/>
        <v>16512</v>
      </c>
      <c r="R16" s="53">
        <f t="shared" si="31"/>
        <v>13457</v>
      </c>
      <c r="S16" s="53">
        <f t="shared" ref="S16:W16" si="32">S14+S15</f>
        <v>12667.1</v>
      </c>
      <c r="T16" s="54">
        <f t="shared" si="32"/>
        <v>46632.348999999995</v>
      </c>
      <c r="U16" s="53">
        <f t="shared" si="32"/>
        <v>13233.688999999995</v>
      </c>
      <c r="V16" s="53">
        <f t="shared" si="32"/>
        <v>11320.660000000002</v>
      </c>
      <c r="W16" s="53">
        <f t="shared" si="32"/>
        <v>15111.7</v>
      </c>
      <c r="X16" s="53">
        <f t="shared" ref="X16:Z16" si="33">X14+X15</f>
        <v>6966.2999999999993</v>
      </c>
      <c r="Y16" s="54">
        <f t="shared" si="33"/>
        <v>16683.395999999993</v>
      </c>
      <c r="Z16" s="53">
        <f t="shared" si="33"/>
        <v>6625.0820000000003</v>
      </c>
      <c r="AA16" s="53">
        <f t="shared" ref="AA16:AE16" si="34">AA14+AA15</f>
        <v>4629.8140000000058</v>
      </c>
      <c r="AB16" s="53">
        <f t="shared" si="34"/>
        <v>4378</v>
      </c>
      <c r="AC16" s="53">
        <f t="shared" si="34"/>
        <v>1050.5</v>
      </c>
      <c r="AD16" s="54">
        <f t="shared" si="34"/>
        <v>3799.2000000000003</v>
      </c>
      <c r="AE16" s="53">
        <f t="shared" si="34"/>
        <v>3799.2000000000003</v>
      </c>
      <c r="AF16" s="53">
        <f t="shared" ref="AF16:AH16" si="35">AF14+AF15</f>
        <v>0</v>
      </c>
      <c r="AG16" s="53">
        <f t="shared" si="35"/>
        <v>0</v>
      </c>
      <c r="AH16" s="53">
        <f t="shared" si="35"/>
        <v>0</v>
      </c>
    </row>
    <row r="17" spans="1:34">
      <c r="T17" s="44"/>
      <c r="U17" s="45"/>
      <c r="V17" s="45"/>
      <c r="W17" s="45"/>
      <c r="X17" s="45"/>
      <c r="Y17" s="44"/>
      <c r="Z17" s="45"/>
      <c r="AA17" s="45"/>
      <c r="AB17" s="45"/>
      <c r="AC17" s="45"/>
      <c r="AD17" s="44"/>
      <c r="AE17" s="45"/>
      <c r="AF17" s="45"/>
      <c r="AG17" s="45"/>
      <c r="AH17" s="45"/>
    </row>
    <row r="18" spans="1:34">
      <c r="T18" s="44"/>
      <c r="U18" s="45"/>
      <c r="V18" s="45"/>
      <c r="W18" s="45"/>
      <c r="X18" s="45"/>
      <c r="Y18" s="44"/>
      <c r="Z18" s="45"/>
      <c r="AA18" s="45"/>
      <c r="AB18" s="45"/>
      <c r="AC18" s="45"/>
      <c r="AD18" s="44"/>
      <c r="AE18" s="45"/>
      <c r="AF18" s="45"/>
      <c r="AG18" s="45"/>
      <c r="AH18" s="45"/>
    </row>
    <row r="19" spans="1:34">
      <c r="A19" s="13" t="s">
        <v>96</v>
      </c>
      <c r="B19" s="18">
        <v>-16810</v>
      </c>
      <c r="C19" s="18">
        <v>-19579.427</v>
      </c>
      <c r="D19" s="18">
        <v>-22895.903999999999</v>
      </c>
      <c r="E19" s="18">
        <v>-22781</v>
      </c>
      <c r="F19" s="19">
        <v>-5863</v>
      </c>
      <c r="G19" s="19">
        <v>-5492</v>
      </c>
      <c r="H19" s="19">
        <v>-5550</v>
      </c>
      <c r="I19" s="19">
        <v>-5875</v>
      </c>
      <c r="J19" s="18">
        <f t="shared" ref="J19" si="36">SUM(K19:N19)</f>
        <v>-23127.45</v>
      </c>
      <c r="K19" s="19">
        <v>-5773.45</v>
      </c>
      <c r="L19" s="19">
        <v>-5760</v>
      </c>
      <c r="M19" s="19">
        <v>-5847</v>
      </c>
      <c r="N19" s="19">
        <v>-5747</v>
      </c>
      <c r="O19" s="18">
        <f>SUM(P19:S19)</f>
        <v>-25188.5</v>
      </c>
      <c r="P19" s="19">
        <v>-5816.8</v>
      </c>
      <c r="Q19" s="19">
        <v>-6298</v>
      </c>
      <c r="R19" s="19">
        <v>-6073</v>
      </c>
      <c r="S19" s="19">
        <v>-7000.7</v>
      </c>
      <c r="T19" s="18">
        <f>SUM(U19:X19)</f>
        <v>-24574</v>
      </c>
      <c r="U19" s="19">
        <v>-6116</v>
      </c>
      <c r="V19" s="19">
        <v>-6126</v>
      </c>
      <c r="W19" s="19">
        <v>-6179</v>
      </c>
      <c r="X19" s="19">
        <v>-6153</v>
      </c>
      <c r="Y19" s="18">
        <f>SUM(Z19:AC19)</f>
        <v>-24248.377</v>
      </c>
      <c r="Z19" s="19">
        <v>-5512.7969999999996</v>
      </c>
      <c r="AA19" s="19">
        <v>-6423.5800000000008</v>
      </c>
      <c r="AB19" s="19">
        <v>-6182</v>
      </c>
      <c r="AC19" s="19">
        <v>-6130</v>
      </c>
      <c r="AD19" s="18">
        <f>SUM(AE19:AH19)</f>
        <v>-5630</v>
      </c>
      <c r="AE19" s="19">
        <v>-5630</v>
      </c>
      <c r="AF19" s="19"/>
      <c r="AG19" s="19"/>
      <c r="AH19" s="19"/>
    </row>
    <row r="20" spans="1:34">
      <c r="T20" s="44"/>
      <c r="U20" s="45"/>
      <c r="V20" s="45"/>
      <c r="W20" s="45"/>
      <c r="X20" s="45"/>
      <c r="Y20" s="44"/>
      <c r="Z20" s="45"/>
      <c r="AA20" s="45"/>
      <c r="AB20" s="45"/>
      <c r="AC20" s="45"/>
      <c r="AD20" s="44"/>
      <c r="AE20" s="45"/>
      <c r="AF20" s="45"/>
      <c r="AG20" s="45"/>
      <c r="AH20" s="45"/>
    </row>
    <row r="21" spans="1:34">
      <c r="A21" s="13" t="s">
        <v>97</v>
      </c>
      <c r="B21" s="20">
        <f>B10-B19</f>
        <v>70588</v>
      </c>
      <c r="C21" s="20">
        <f>C10-C19</f>
        <v>87933.426999999996</v>
      </c>
      <c r="D21" s="20">
        <f>D10-D19</f>
        <v>105794.12999999998</v>
      </c>
      <c r="E21" s="20">
        <f>E10-E19</f>
        <v>100682.90596931001</v>
      </c>
      <c r="F21" s="21">
        <f t="shared" ref="F21:H21" si="37">F10-F19</f>
        <v>22418.098925939994</v>
      </c>
      <c r="G21" s="21">
        <f t="shared" si="37"/>
        <v>25653.901074060006</v>
      </c>
      <c r="H21" s="21">
        <f t="shared" si="37"/>
        <v>26430.999999999996</v>
      </c>
      <c r="I21" s="21">
        <v>26180</v>
      </c>
      <c r="J21" s="18">
        <f t="shared" ref="J21" si="38">SUM(K21:N21)</f>
        <v>104727.24579055001</v>
      </c>
      <c r="K21" s="21">
        <f t="shared" ref="K21:S21" si="39">K10-K19</f>
        <v>23729.245790550001</v>
      </c>
      <c r="L21" s="21">
        <f t="shared" si="39"/>
        <v>25508</v>
      </c>
      <c r="M21" s="21">
        <f t="shared" si="39"/>
        <v>26892</v>
      </c>
      <c r="N21" s="21">
        <f t="shared" si="39"/>
        <v>28598</v>
      </c>
      <c r="O21" s="54">
        <f t="shared" si="39"/>
        <v>100385.5</v>
      </c>
      <c r="P21" s="21">
        <f t="shared" si="39"/>
        <v>25671.8</v>
      </c>
      <c r="Q21" s="21">
        <f t="shared" si="39"/>
        <v>27331</v>
      </c>
      <c r="R21" s="21">
        <f t="shared" si="39"/>
        <v>23985</v>
      </c>
      <c r="S21" s="21">
        <f t="shared" si="39"/>
        <v>23397.7</v>
      </c>
      <c r="T21" s="54">
        <f t="shared" ref="T21:X21" si="40">T10-T19</f>
        <v>77175.005000000005</v>
      </c>
      <c r="U21" s="21">
        <f t="shared" si="40"/>
        <v>23226.944999999996</v>
      </c>
      <c r="V21" s="21">
        <f t="shared" si="40"/>
        <v>22143.06</v>
      </c>
      <c r="W21" s="21">
        <f t="shared" si="40"/>
        <v>19027.7</v>
      </c>
      <c r="X21" s="21">
        <f t="shared" si="40"/>
        <v>12777.3</v>
      </c>
      <c r="Y21" s="54">
        <f t="shared" ref="Y21:Z21" si="41">Y10-Y19</f>
        <v>55288.867999999995</v>
      </c>
      <c r="Z21" s="21">
        <f t="shared" si="41"/>
        <v>14570.55</v>
      </c>
      <c r="AA21" s="21">
        <f t="shared" ref="AA21:AE21" si="42">AA10-AA19</f>
        <v>14224.818000000007</v>
      </c>
      <c r="AB21" s="21">
        <f t="shared" si="42"/>
        <v>14097</v>
      </c>
      <c r="AC21" s="21">
        <f t="shared" si="42"/>
        <v>12396.5</v>
      </c>
      <c r="AD21" s="54">
        <f t="shared" si="42"/>
        <v>13126</v>
      </c>
      <c r="AE21" s="21">
        <f t="shared" si="42"/>
        <v>13126</v>
      </c>
      <c r="AF21" s="21">
        <f t="shared" ref="AF21:AH21" si="43">AF10-AF19</f>
        <v>0</v>
      </c>
      <c r="AG21" s="21">
        <f t="shared" si="43"/>
        <v>0</v>
      </c>
      <c r="AH21" s="21">
        <f t="shared" si="43"/>
        <v>0</v>
      </c>
    </row>
    <row r="22" spans="1:34">
      <c r="B22" s="23">
        <f>B21/B4</f>
        <v>0.54151835031299866</v>
      </c>
      <c r="C22" s="23">
        <f>C21/C4</f>
        <v>0.57665801243376524</v>
      </c>
      <c r="D22" s="23">
        <f>D21/D4</f>
        <v>0.59173532011566765</v>
      </c>
      <c r="E22" s="23">
        <f>E21/E4</f>
        <v>0.55319213087588659</v>
      </c>
      <c r="F22" s="38">
        <f t="shared" ref="F22:K22" si="44">F21/F4</f>
        <v>0.5415343830280005</v>
      </c>
      <c r="G22" s="38">
        <f t="shared" si="44"/>
        <v>0.57801668711673115</v>
      </c>
      <c r="H22" s="38">
        <f t="shared" si="44"/>
        <v>0.55852333960230749</v>
      </c>
      <c r="I22" s="38">
        <f t="shared" si="44"/>
        <v>0.53537832310838451</v>
      </c>
      <c r="J22" s="23">
        <f t="shared" si="44"/>
        <v>0.55824936428661287</v>
      </c>
      <c r="K22" s="38">
        <f t="shared" si="44"/>
        <v>0.55115846345584785</v>
      </c>
      <c r="L22" s="38">
        <f t="shared" ref="L22:M22" si="45">L21/L4</f>
        <v>0.55127401612240934</v>
      </c>
      <c r="M22" s="38">
        <f t="shared" si="45"/>
        <v>0.55164208496584544</v>
      </c>
      <c r="N22" s="38">
        <f t="shared" ref="N22:S22" si="46">N21/N4</f>
        <v>0.57743407503129673</v>
      </c>
      <c r="O22" s="37">
        <f t="shared" si="46"/>
        <v>0.53516099797419769</v>
      </c>
      <c r="P22" s="38">
        <f t="shared" si="46"/>
        <v>0.58203459768290744</v>
      </c>
      <c r="Q22" s="38">
        <f t="shared" si="46"/>
        <v>0.56898095138961169</v>
      </c>
      <c r="R22" s="38">
        <f>R21/R4</f>
        <v>0.48784704566256482</v>
      </c>
      <c r="S22" s="38">
        <f t="shared" si="46"/>
        <v>0.50564476044345519</v>
      </c>
      <c r="T22" s="37">
        <f t="shared" ref="T22:V22" si="47">T21/T4</f>
        <v>0.45821857336246619</v>
      </c>
      <c r="U22" s="38">
        <f t="shared" si="47"/>
        <v>0.5390958570268074</v>
      </c>
      <c r="V22" s="38">
        <f t="shared" si="47"/>
        <v>0.51520050256517647</v>
      </c>
      <c r="W22" s="38">
        <f>W21/W4</f>
        <v>0.44503514167767894</v>
      </c>
      <c r="X22" s="38">
        <f t="shared" ref="X22:Z22" si="48">X21/X4</f>
        <v>0.3226265023734976</v>
      </c>
      <c r="Y22" s="37">
        <f t="shared" si="48"/>
        <v>0.37602131084052798</v>
      </c>
      <c r="Z22" s="38">
        <f t="shared" si="48"/>
        <v>0.41078835542141923</v>
      </c>
      <c r="AA22" s="38">
        <f t="shared" ref="AA22:AE22" si="49">AA21/AA4</f>
        <v>0.39065429815990832</v>
      </c>
      <c r="AB22" s="38">
        <f t="shared" si="49"/>
        <v>0.38171184100078526</v>
      </c>
      <c r="AC22" s="38">
        <f t="shared" si="49"/>
        <v>0.32432043533997856</v>
      </c>
      <c r="AD22" s="37">
        <f t="shared" si="49"/>
        <v>0.3695695019286539</v>
      </c>
      <c r="AE22" s="38">
        <f t="shared" si="49"/>
        <v>0.3695695019286539</v>
      </c>
      <c r="AF22" s="38" t="e">
        <f t="shared" ref="AF22:AH22" si="50">AF21/AF4</f>
        <v>#DIV/0!</v>
      </c>
      <c r="AG22" s="38" t="e">
        <f t="shared" si="50"/>
        <v>#DIV/0!</v>
      </c>
      <c r="AH22" s="38" t="e">
        <f t="shared" si="50"/>
        <v>#DIV/0!</v>
      </c>
    </row>
    <row r="23" spans="1:34">
      <c r="T23" s="44"/>
      <c r="U23" s="45"/>
      <c r="V23" s="45"/>
      <c r="W23" s="45"/>
      <c r="X23" s="45"/>
      <c r="Y23" s="44"/>
      <c r="Z23" s="45"/>
      <c r="AA23" s="45"/>
      <c r="AB23" s="45"/>
      <c r="AC23" s="45"/>
      <c r="AD23" s="44"/>
      <c r="AE23" s="45"/>
      <c r="AF23" s="45"/>
      <c r="AG23" s="45"/>
      <c r="AH23" s="45"/>
    </row>
    <row r="24" spans="1:34">
      <c r="A24" s="13" t="s">
        <v>98</v>
      </c>
      <c r="B24" s="18">
        <v>0</v>
      </c>
      <c r="C24" s="18">
        <v>0</v>
      </c>
      <c r="D24" s="18">
        <v>0</v>
      </c>
      <c r="E24" s="13">
        <v>743</v>
      </c>
      <c r="F24" s="19">
        <v>1035.375</v>
      </c>
      <c r="G24" s="19">
        <v>-589.875</v>
      </c>
      <c r="H24" s="55">
        <v>222.75</v>
      </c>
      <c r="I24" s="55">
        <v>74.25</v>
      </c>
      <c r="J24" s="18">
        <f t="shared" ref="J24" si="51">SUM(K24:N24)</f>
        <v>0</v>
      </c>
      <c r="K24" s="45">
        <v>0</v>
      </c>
      <c r="L24" s="45">
        <v>0</v>
      </c>
      <c r="M24" s="45">
        <v>0</v>
      </c>
      <c r="N24" s="45">
        <v>0</v>
      </c>
      <c r="O24" s="54">
        <f>SUM(P24:S24)</f>
        <v>4881</v>
      </c>
      <c r="P24" s="45">
        <v>0</v>
      </c>
      <c r="Q24" s="45">
        <v>205</v>
      </c>
      <c r="R24" s="21">
        <v>3639</v>
      </c>
      <c r="S24" s="21">
        <v>1037</v>
      </c>
      <c r="T24" s="54">
        <f>SUM(U24:X24)</f>
        <v>4612</v>
      </c>
      <c r="U24" s="45">
        <v>327</v>
      </c>
      <c r="V24" s="45">
        <v>0</v>
      </c>
      <c r="W24" s="21">
        <v>0</v>
      </c>
      <c r="X24" s="21">
        <v>4285</v>
      </c>
      <c r="Y24" s="54">
        <f>SUM(Z24:AC24)</f>
        <v>2699</v>
      </c>
      <c r="Z24" s="45">
        <f>'Financial highlights'!Z16</f>
        <v>357</v>
      </c>
      <c r="AA24" s="45">
        <f>'Financial highlights'!AA16</f>
        <v>113</v>
      </c>
      <c r="AB24" s="45">
        <f>'Financial highlights'!AB16</f>
        <v>140</v>
      </c>
      <c r="AC24" s="21">
        <v>2089</v>
      </c>
      <c r="AD24" s="54">
        <f>SUM(AE24:AH24)</f>
        <v>0</v>
      </c>
      <c r="AE24" s="45">
        <f>'Financial highlights'!AE16</f>
        <v>0</v>
      </c>
      <c r="AF24" s="45">
        <f>'Financial highlights'!AF16</f>
        <v>0</v>
      </c>
      <c r="AG24" s="45">
        <f>'Financial highlights'!AG16</f>
        <v>0</v>
      </c>
      <c r="AH24" s="45">
        <f>'Financial highlights'!AH16</f>
        <v>0</v>
      </c>
    </row>
    <row r="26" spans="1:34">
      <c r="A26" s="13" t="s">
        <v>99</v>
      </c>
      <c r="B26" s="20">
        <f>B21+B24</f>
        <v>70588</v>
      </c>
      <c r="C26" s="20">
        <f>C21+C24</f>
        <v>87933.426999999996</v>
      </c>
      <c r="D26" s="20">
        <f>D21+D24</f>
        <v>105794.12999999998</v>
      </c>
      <c r="E26" s="20">
        <f>E21+E24</f>
        <v>101425.90596931001</v>
      </c>
      <c r="F26" s="21">
        <f t="shared" ref="F26:H26" si="52">F21+F24</f>
        <v>23453.473925939994</v>
      </c>
      <c r="G26" s="21">
        <f t="shared" si="52"/>
        <v>25064.026074060006</v>
      </c>
      <c r="H26" s="21">
        <f t="shared" si="52"/>
        <v>26653.749999999996</v>
      </c>
      <c r="I26" s="21">
        <f t="shared" ref="I26:X26" si="53">I21+I24</f>
        <v>26254.25</v>
      </c>
      <c r="J26" s="20">
        <f t="shared" si="53"/>
        <v>104727.24579055001</v>
      </c>
      <c r="K26" s="21">
        <f t="shared" si="53"/>
        <v>23729.245790550001</v>
      </c>
      <c r="L26" s="21">
        <f t="shared" si="53"/>
        <v>25508</v>
      </c>
      <c r="M26" s="21">
        <f t="shared" si="53"/>
        <v>26892</v>
      </c>
      <c r="N26" s="21">
        <f t="shared" si="53"/>
        <v>28598</v>
      </c>
      <c r="O26" s="54">
        <f t="shared" si="53"/>
        <v>105266.5</v>
      </c>
      <c r="P26" s="21">
        <f t="shared" si="53"/>
        <v>25671.8</v>
      </c>
      <c r="Q26" s="21">
        <f t="shared" si="53"/>
        <v>27536</v>
      </c>
      <c r="R26" s="21">
        <f t="shared" si="53"/>
        <v>27624</v>
      </c>
      <c r="S26" s="21">
        <f t="shared" si="53"/>
        <v>24434.7</v>
      </c>
      <c r="T26" s="54">
        <f>SUM(U26:X26)</f>
        <v>81787.005000000005</v>
      </c>
      <c r="U26" s="21">
        <f t="shared" si="53"/>
        <v>23553.944999999996</v>
      </c>
      <c r="V26" s="21">
        <f t="shared" si="53"/>
        <v>22143.06</v>
      </c>
      <c r="W26" s="21">
        <f t="shared" si="53"/>
        <v>19027.7</v>
      </c>
      <c r="X26" s="21">
        <f t="shared" si="53"/>
        <v>17062.3</v>
      </c>
      <c r="Y26" s="54">
        <f>SUM(Z26:AC26)</f>
        <v>57987.868000000002</v>
      </c>
      <c r="Z26" s="21">
        <f t="shared" ref="Z26:AA26" si="54">Z21+Z24</f>
        <v>14927.55</v>
      </c>
      <c r="AA26" s="21">
        <f t="shared" si="54"/>
        <v>14337.818000000007</v>
      </c>
      <c r="AB26" s="21">
        <f t="shared" ref="AB26:AC26" si="55">AB21+AB24</f>
        <v>14237</v>
      </c>
      <c r="AC26" s="21">
        <f t="shared" si="55"/>
        <v>14485.5</v>
      </c>
      <c r="AD26" s="54">
        <f>SUM(AE26:AH26)</f>
        <v>13126</v>
      </c>
      <c r="AE26" s="21">
        <f t="shared" ref="AE26:AH26" si="56">AE21+AE24</f>
        <v>13126</v>
      </c>
      <c r="AF26" s="21">
        <f t="shared" si="56"/>
        <v>0</v>
      </c>
      <c r="AG26" s="21">
        <f t="shared" si="56"/>
        <v>0</v>
      </c>
      <c r="AH26" s="21">
        <f t="shared" si="56"/>
        <v>0</v>
      </c>
    </row>
    <row r="27" spans="1:34">
      <c r="B27" s="23">
        <f>B26/B4</f>
        <v>0.54151835031299866</v>
      </c>
      <c r="C27" s="23">
        <f>C26/C4</f>
        <v>0.57665801243376524</v>
      </c>
      <c r="D27" s="23">
        <f>D26/D4</f>
        <v>0.59173532011566765</v>
      </c>
      <c r="E27" s="23">
        <f>E26/E4</f>
        <v>0.55727446987160512</v>
      </c>
      <c r="F27" s="38">
        <f t="shared" ref="F27:K27" si="57">F26/F4</f>
        <v>0.56654503016984359</v>
      </c>
      <c r="G27" s="38">
        <f t="shared" si="57"/>
        <v>0.56472601478082884</v>
      </c>
      <c r="H27" s="38">
        <f t="shared" si="57"/>
        <v>0.56323035310525527</v>
      </c>
      <c r="I27" s="38">
        <f t="shared" si="57"/>
        <v>0.5368967280163599</v>
      </c>
      <c r="J27" s="23">
        <f t="shared" ref="J27" si="58">J26/J4</f>
        <v>0.55824936428661287</v>
      </c>
      <c r="K27" s="38">
        <f t="shared" si="57"/>
        <v>0.55115846345584785</v>
      </c>
      <c r="L27" s="38">
        <f t="shared" ref="L27:M27" si="59">L26/L4</f>
        <v>0.55127401612240934</v>
      </c>
      <c r="M27" s="38">
        <f t="shared" si="59"/>
        <v>0.55164208496584544</v>
      </c>
      <c r="N27" s="38">
        <f t="shared" ref="N27:X27" si="60">N26/N4</f>
        <v>0.57743407503129673</v>
      </c>
      <c r="O27" s="37">
        <f t="shared" si="60"/>
        <v>0.56118189572449084</v>
      </c>
      <c r="P27" s="38">
        <f t="shared" si="60"/>
        <v>0.58203459768290744</v>
      </c>
      <c r="Q27" s="38">
        <f t="shared" si="60"/>
        <v>0.57324867284271885</v>
      </c>
      <c r="R27" s="38">
        <f t="shared" si="60"/>
        <v>0.56186311400386457</v>
      </c>
      <c r="S27" s="38">
        <f t="shared" si="60"/>
        <v>0.52805523739545746</v>
      </c>
      <c r="T27" s="37">
        <f t="shared" si="60"/>
        <v>0.48560184415522734</v>
      </c>
      <c r="U27" s="38">
        <f t="shared" si="60"/>
        <v>0.54668550539630956</v>
      </c>
      <c r="V27" s="38">
        <f t="shared" si="60"/>
        <v>0.51520050256517647</v>
      </c>
      <c r="W27" s="38">
        <f t="shared" si="60"/>
        <v>0.44503514167767894</v>
      </c>
      <c r="X27" s="38">
        <f t="shared" si="60"/>
        <v>0.43082264417735583</v>
      </c>
      <c r="Y27" s="37">
        <f t="shared" ref="Y27:Z27" si="61">Y26/Y4</f>
        <v>0.39437729378375969</v>
      </c>
      <c r="Z27" s="38">
        <f t="shared" si="61"/>
        <v>0.4208532769848089</v>
      </c>
      <c r="AA27" s="38">
        <f t="shared" ref="AA27:AE27" si="62">AA26/AA4</f>
        <v>0.39375760223677381</v>
      </c>
      <c r="AB27" s="38">
        <f t="shared" si="62"/>
        <v>0.38550269421353334</v>
      </c>
      <c r="AC27" s="38">
        <f t="shared" si="62"/>
        <v>0.37897339298328231</v>
      </c>
      <c r="AD27" s="37">
        <f t="shared" si="62"/>
        <v>0.3695695019286539</v>
      </c>
      <c r="AE27" s="38">
        <f t="shared" si="62"/>
        <v>0.3695695019286539</v>
      </c>
      <c r="AF27" s="38" t="e">
        <f t="shared" ref="AF27:AH27" si="63">AF26/AF4</f>
        <v>#DIV/0!</v>
      </c>
      <c r="AG27" s="38" t="e">
        <f t="shared" si="63"/>
        <v>#DIV/0!</v>
      </c>
      <c r="AH27" s="38" t="e">
        <f t="shared" si="63"/>
        <v>#DIV/0!</v>
      </c>
    </row>
    <row r="30" spans="1:34">
      <c r="A30" s="27" t="s">
        <v>118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3"/>
  <sheetViews>
    <sheetView workbookViewId="0">
      <pane xSplit="1" ySplit="3" topLeftCell="I7" activePane="bottomRight" state="frozen"/>
      <selection pane="topRight" activeCell="B1" sqref="B1"/>
      <selection pane="bottomLeft" activeCell="A4" sqref="A4"/>
      <selection pane="bottomRight" activeCell="V27" sqref="V27"/>
    </sheetView>
  </sheetViews>
  <sheetFormatPr defaultColWidth="8.85546875" defaultRowHeight="12.75" outlineLevelCol="1"/>
  <cols>
    <col min="1" max="1" width="34.28515625" style="13" customWidth="1"/>
    <col min="2" max="3" width="10.7109375" style="13" hidden="1" customWidth="1" outlineLevel="1"/>
    <col min="4" max="5" width="11.5703125" style="13" hidden="1" customWidth="1" outlineLevel="1"/>
    <col min="6" max="6" width="12.5703125" style="45" hidden="1" customWidth="1" outlineLevel="1"/>
    <col min="7" max="8" width="12.7109375" style="45" hidden="1" customWidth="1" outlineLevel="1"/>
    <col min="9" max="9" width="11.5703125" style="13" hidden="1" customWidth="1" outlineLevel="1"/>
    <col min="10" max="12" width="12.7109375" style="45" hidden="1" customWidth="1" outlineLevel="1"/>
    <col min="13" max="13" width="11.5703125" style="13" hidden="1" customWidth="1" outlineLevel="1"/>
    <col min="14" max="16" width="12.7109375" style="45" hidden="1" customWidth="1" outlineLevel="1"/>
    <col min="17" max="17" width="11.5703125" style="13" hidden="1" customWidth="1" outlineLevel="1"/>
    <col min="18" max="18" width="12.7109375" style="45" hidden="1" customWidth="1" outlineLevel="1" collapsed="1"/>
    <col min="19" max="20" width="12.7109375" style="45" hidden="1" customWidth="1" outlineLevel="1"/>
    <col min="21" max="21" width="11.5703125" style="13" customWidth="1" collapsed="1"/>
    <col min="22" max="22" width="12.7109375" style="45" bestFit="1" customWidth="1"/>
    <col min="23" max="16384" width="8.85546875" style="13"/>
  </cols>
  <sheetData>
    <row r="2" spans="1:22">
      <c r="A2" s="10" t="s">
        <v>47</v>
      </c>
      <c r="B2" s="11" t="s">
        <v>12</v>
      </c>
      <c r="C2" s="11" t="s">
        <v>10</v>
      </c>
      <c r="D2" s="12">
        <v>2011</v>
      </c>
      <c r="E2" s="11" t="s">
        <v>13</v>
      </c>
      <c r="F2" s="56" t="s">
        <v>94</v>
      </c>
      <c r="G2" s="56" t="s">
        <v>94</v>
      </c>
      <c r="H2" s="56" t="s">
        <v>94</v>
      </c>
      <c r="I2" s="11" t="s">
        <v>94</v>
      </c>
      <c r="J2" s="56" t="s">
        <v>102</v>
      </c>
      <c r="K2" s="56" t="s">
        <v>102</v>
      </c>
      <c r="L2" s="56" t="s">
        <v>94</v>
      </c>
      <c r="M2" s="11" t="s">
        <v>102</v>
      </c>
      <c r="N2" s="56" t="s">
        <v>115</v>
      </c>
      <c r="O2" s="56" t="s">
        <v>115</v>
      </c>
      <c r="P2" s="56" t="s">
        <v>115</v>
      </c>
      <c r="Q2" s="11" t="s">
        <v>115</v>
      </c>
      <c r="R2" s="74" t="s">
        <v>123</v>
      </c>
      <c r="S2" s="74" t="s">
        <v>123</v>
      </c>
      <c r="T2" s="74" t="s">
        <v>123</v>
      </c>
      <c r="U2" s="11">
        <v>2016</v>
      </c>
      <c r="V2" s="74" t="s">
        <v>124</v>
      </c>
    </row>
    <row r="3" spans="1:22">
      <c r="A3" s="14" t="s">
        <v>48</v>
      </c>
      <c r="B3" s="15" t="s">
        <v>107</v>
      </c>
      <c r="C3" s="15" t="s">
        <v>107</v>
      </c>
      <c r="D3" s="15" t="s">
        <v>107</v>
      </c>
      <c r="E3" s="15" t="s">
        <v>107</v>
      </c>
      <c r="F3" s="57">
        <v>41729</v>
      </c>
      <c r="G3" s="57">
        <v>41820</v>
      </c>
      <c r="H3" s="57">
        <v>41912</v>
      </c>
      <c r="I3" s="15" t="s">
        <v>107</v>
      </c>
      <c r="J3" s="57">
        <v>41729</v>
      </c>
      <c r="K3" s="57">
        <v>41820</v>
      </c>
      <c r="L3" s="57">
        <v>41912</v>
      </c>
      <c r="M3" s="15" t="s">
        <v>107</v>
      </c>
      <c r="N3" s="57">
        <v>42094</v>
      </c>
      <c r="O3" s="57">
        <v>42185</v>
      </c>
      <c r="P3" s="57">
        <v>42277</v>
      </c>
      <c r="Q3" s="15" t="s">
        <v>107</v>
      </c>
      <c r="R3" s="57">
        <v>42460</v>
      </c>
      <c r="S3" s="57">
        <v>42551</v>
      </c>
      <c r="T3" s="57">
        <v>42643</v>
      </c>
      <c r="U3" s="15" t="s">
        <v>107</v>
      </c>
      <c r="V3" s="57">
        <v>42825</v>
      </c>
    </row>
    <row r="4" spans="1:22" s="44" customFormat="1">
      <c r="A4" s="44" t="s">
        <v>49</v>
      </c>
      <c r="B4" s="35"/>
      <c r="C4" s="35"/>
      <c r="D4" s="35"/>
      <c r="E4" s="35"/>
      <c r="F4" s="47"/>
      <c r="G4" s="47"/>
      <c r="H4" s="47"/>
      <c r="I4" s="35"/>
      <c r="J4" s="47"/>
      <c r="K4" s="47"/>
      <c r="L4" s="47"/>
      <c r="M4" s="35"/>
      <c r="N4" s="47"/>
      <c r="O4" s="47"/>
      <c r="P4" s="47"/>
      <c r="Q4" s="35"/>
      <c r="R4" s="47"/>
      <c r="S4" s="47"/>
      <c r="T4" s="47"/>
      <c r="U4" s="35"/>
      <c r="V4" s="47"/>
    </row>
    <row r="5" spans="1:22">
      <c r="A5" s="13" t="s">
        <v>50</v>
      </c>
      <c r="B5" s="18">
        <v>13468</v>
      </c>
      <c r="C5" s="18">
        <v>18309</v>
      </c>
      <c r="D5" s="18">
        <v>18433.690999999999</v>
      </c>
      <c r="E5" s="18">
        <v>16139.754000000001</v>
      </c>
      <c r="F5" s="19">
        <v>15700</v>
      </c>
      <c r="G5" s="19">
        <v>14370</v>
      </c>
      <c r="H5" s="19">
        <v>14606</v>
      </c>
      <c r="I5" s="18">
        <v>13955</v>
      </c>
      <c r="J5" s="19">
        <v>13076</v>
      </c>
      <c r="K5" s="19">
        <v>13223</v>
      </c>
      <c r="L5" s="19">
        <v>13097</v>
      </c>
      <c r="M5" s="18">
        <v>12494</v>
      </c>
      <c r="N5" s="19">
        <v>12108</v>
      </c>
      <c r="O5" s="19">
        <v>13877</v>
      </c>
      <c r="P5" s="19">
        <v>14930</v>
      </c>
      <c r="Q5" s="18">
        <v>16956</v>
      </c>
      <c r="R5" s="19">
        <v>12108</v>
      </c>
      <c r="S5" s="19">
        <v>40489.67511194999</v>
      </c>
      <c r="T5" s="19">
        <v>41421</v>
      </c>
      <c r="U5" s="18">
        <v>42842</v>
      </c>
      <c r="V5" s="19">
        <v>41593</v>
      </c>
    </row>
    <row r="6" spans="1:22">
      <c r="A6" s="13" t="s">
        <v>51</v>
      </c>
      <c r="B6" s="18">
        <v>86723</v>
      </c>
      <c r="C6" s="18">
        <v>89000</v>
      </c>
      <c r="D6" s="18">
        <v>100371.648</v>
      </c>
      <c r="E6" s="18">
        <v>110336.802</v>
      </c>
      <c r="F6" s="19">
        <v>110185</v>
      </c>
      <c r="G6" s="19">
        <v>111191</v>
      </c>
      <c r="H6" s="19">
        <v>109961</v>
      </c>
      <c r="I6" s="18">
        <v>112369</v>
      </c>
      <c r="J6" s="19">
        <v>109537</v>
      </c>
      <c r="K6" s="19">
        <v>105374</v>
      </c>
      <c r="L6" s="19">
        <v>101426</v>
      </c>
      <c r="M6" s="18">
        <v>108955</v>
      </c>
      <c r="N6" s="19">
        <v>102900</v>
      </c>
      <c r="O6" s="19">
        <v>101272</v>
      </c>
      <c r="P6" s="19">
        <v>98966</v>
      </c>
      <c r="Q6" s="18">
        <v>94502</v>
      </c>
      <c r="R6" s="19">
        <v>102900</v>
      </c>
      <c r="S6" s="19">
        <v>91417.02517718001</v>
      </c>
      <c r="T6" s="19">
        <v>94298</v>
      </c>
      <c r="U6" s="18">
        <v>95322</v>
      </c>
      <c r="V6" s="19">
        <v>96894</v>
      </c>
    </row>
    <row r="7" spans="1:22">
      <c r="A7" s="13" t="s">
        <v>52</v>
      </c>
      <c r="B7" s="18">
        <v>14150</v>
      </c>
      <c r="C7" s="18">
        <v>14497</v>
      </c>
      <c r="D7" s="18">
        <v>6759.3639999999996</v>
      </c>
      <c r="E7" s="18">
        <v>3121.627</v>
      </c>
      <c r="F7" s="19">
        <v>3141</v>
      </c>
      <c r="G7" s="19">
        <v>2761</v>
      </c>
      <c r="H7" s="19">
        <v>3362</v>
      </c>
      <c r="I7" s="18">
        <v>3131</v>
      </c>
      <c r="J7" s="19">
        <v>3422</v>
      </c>
      <c r="K7" s="19">
        <v>2873</v>
      </c>
      <c r="L7" s="19">
        <v>2075</v>
      </c>
      <c r="M7" s="18">
        <v>145</v>
      </c>
      <c r="N7" s="19">
        <v>2583</v>
      </c>
      <c r="O7" s="19">
        <v>492</v>
      </c>
      <c r="P7" s="19">
        <v>734</v>
      </c>
      <c r="Q7" s="18">
        <v>145</v>
      </c>
      <c r="R7" s="19">
        <v>2583</v>
      </c>
      <c r="S7" s="19">
        <v>86.418999999999997</v>
      </c>
      <c r="T7" s="19">
        <v>87</v>
      </c>
      <c r="U7" s="18">
        <v>86</v>
      </c>
      <c r="V7" s="19">
        <v>86</v>
      </c>
    </row>
    <row r="8" spans="1:22">
      <c r="A8" s="13" t="s">
        <v>120</v>
      </c>
      <c r="B8" s="18"/>
      <c r="C8" s="18"/>
      <c r="D8" s="18"/>
      <c r="E8" s="18"/>
      <c r="F8" s="19"/>
      <c r="G8" s="19">
        <v>0</v>
      </c>
      <c r="H8" s="19">
        <v>0</v>
      </c>
      <c r="I8" s="73">
        <v>0</v>
      </c>
      <c r="J8" s="19">
        <v>0</v>
      </c>
      <c r="K8" s="19">
        <v>0</v>
      </c>
      <c r="L8" s="19">
        <v>0</v>
      </c>
      <c r="M8" s="73">
        <v>0</v>
      </c>
      <c r="N8" s="19">
        <v>0</v>
      </c>
      <c r="O8" s="19">
        <v>0</v>
      </c>
      <c r="P8" s="19">
        <v>0</v>
      </c>
      <c r="Q8" s="73">
        <v>300.39999999999998</v>
      </c>
      <c r="R8" s="19">
        <v>0</v>
      </c>
      <c r="S8" s="19">
        <v>0</v>
      </c>
      <c r="T8" s="19">
        <v>0</v>
      </c>
      <c r="U8" s="73">
        <v>0</v>
      </c>
      <c r="V8" s="19">
        <v>0</v>
      </c>
    </row>
    <row r="9" spans="1:22">
      <c r="A9" s="13" t="s">
        <v>121</v>
      </c>
      <c r="B9" s="18"/>
      <c r="C9" s="18"/>
      <c r="D9" s="18"/>
      <c r="E9" s="18"/>
      <c r="F9" s="19"/>
      <c r="G9" s="19">
        <v>0</v>
      </c>
      <c r="H9" s="19">
        <v>0</v>
      </c>
      <c r="I9" s="73">
        <v>0</v>
      </c>
      <c r="J9" s="19">
        <v>0</v>
      </c>
      <c r="K9" s="19">
        <v>0</v>
      </c>
      <c r="L9" s="19">
        <v>0</v>
      </c>
      <c r="M9" s="73">
        <v>0</v>
      </c>
      <c r="N9" s="19">
        <v>0</v>
      </c>
      <c r="O9" s="19">
        <v>0</v>
      </c>
      <c r="P9" s="19">
        <v>0</v>
      </c>
      <c r="Q9" s="73">
        <v>397.4</v>
      </c>
      <c r="R9" s="19">
        <v>0</v>
      </c>
      <c r="S9" s="19">
        <v>974.71100000000001</v>
      </c>
      <c r="T9" s="19">
        <v>928</v>
      </c>
      <c r="U9" s="73">
        <v>1163</v>
      </c>
      <c r="V9" s="19">
        <v>1106</v>
      </c>
    </row>
    <row r="10" spans="1:22" s="44" customFormat="1">
      <c r="A10" s="44" t="s">
        <v>53</v>
      </c>
      <c r="B10" s="35">
        <f>SUM(B5:B7)</f>
        <v>114341</v>
      </c>
      <c r="C10" s="35">
        <f t="shared" ref="C10:E10" si="0">SUM(C5:C7)</f>
        <v>121806</v>
      </c>
      <c r="D10" s="35">
        <f t="shared" si="0"/>
        <v>125564.70300000001</v>
      </c>
      <c r="E10" s="35">
        <f t="shared" si="0"/>
        <v>129598.18299999999</v>
      </c>
      <c r="F10" s="47">
        <f>SUM(F5:F7)</f>
        <v>129026</v>
      </c>
      <c r="G10" s="47">
        <f>SUM(G5:G8)</f>
        <v>128322</v>
      </c>
      <c r="H10" s="47">
        <f t="shared" ref="H10" si="1">SUM(H5:H7)</f>
        <v>127929</v>
      </c>
      <c r="I10" s="35">
        <f>SUM(I5:I7)</f>
        <v>129455</v>
      </c>
      <c r="J10" s="47">
        <f>SUM(J5:J7)</f>
        <v>126035</v>
      </c>
      <c r="K10" s="47">
        <f>SUM(K5:K7)</f>
        <v>121470</v>
      </c>
      <c r="L10" s="47">
        <f t="shared" ref="L10:M10" si="2">SUM(L5:L7)</f>
        <v>116598</v>
      </c>
      <c r="M10" s="47">
        <f t="shared" si="2"/>
        <v>121594</v>
      </c>
      <c r="N10" s="47">
        <f>SUM(N5:N7)</f>
        <v>117591</v>
      </c>
      <c r="O10" s="47">
        <f>SUM(O5:O7)</f>
        <v>115641</v>
      </c>
      <c r="P10" s="47">
        <f t="shared" ref="P10" si="3">SUM(P5:P7)</f>
        <v>114630</v>
      </c>
      <c r="Q10" s="47">
        <f t="shared" ref="Q10:V10" si="4">SUM(Q5:Q9)</f>
        <v>112300.79999999999</v>
      </c>
      <c r="R10" s="47">
        <f t="shared" si="4"/>
        <v>117591</v>
      </c>
      <c r="S10" s="47">
        <f t="shared" si="4"/>
        <v>132967.83028913001</v>
      </c>
      <c r="T10" s="47">
        <f t="shared" si="4"/>
        <v>136734</v>
      </c>
      <c r="U10" s="47">
        <f t="shared" si="4"/>
        <v>139413</v>
      </c>
      <c r="V10" s="47">
        <f t="shared" si="4"/>
        <v>139679</v>
      </c>
    </row>
    <row r="11" spans="1:22">
      <c r="A11" s="13" t="s">
        <v>54</v>
      </c>
      <c r="B11" s="18">
        <v>792</v>
      </c>
      <c r="C11" s="18">
        <v>1049</v>
      </c>
      <c r="D11" s="18">
        <v>1836.2560000000001</v>
      </c>
      <c r="E11" s="18">
        <v>978</v>
      </c>
      <c r="F11" s="19">
        <v>849</v>
      </c>
      <c r="G11" s="19">
        <v>968</v>
      </c>
      <c r="H11" s="19">
        <v>674</v>
      </c>
      <c r="I11" s="18">
        <v>499</v>
      </c>
      <c r="J11" s="19">
        <v>354</v>
      </c>
      <c r="K11" s="19">
        <v>2036</v>
      </c>
      <c r="L11" s="19">
        <v>1762</v>
      </c>
      <c r="M11" s="18">
        <v>2336</v>
      </c>
      <c r="N11" s="19">
        <v>3822</v>
      </c>
      <c r="O11" s="19">
        <v>3300</v>
      </c>
      <c r="P11" s="19">
        <v>1637</v>
      </c>
      <c r="Q11" s="18">
        <v>2801.5</v>
      </c>
      <c r="R11" s="19">
        <v>3822</v>
      </c>
      <c r="S11" s="19">
        <v>2321.35</v>
      </c>
      <c r="T11" s="19">
        <v>2488</v>
      </c>
      <c r="U11" s="18">
        <v>3587</v>
      </c>
      <c r="V11" s="19">
        <v>2848</v>
      </c>
    </row>
    <row r="12" spans="1:22">
      <c r="A12" s="13" t="s">
        <v>55</v>
      </c>
      <c r="B12" s="18">
        <v>12847</v>
      </c>
      <c r="C12" s="18">
        <v>10296</v>
      </c>
      <c r="D12" s="18">
        <v>16229.205</v>
      </c>
      <c r="E12" s="18">
        <v>15990</v>
      </c>
      <c r="F12" s="19">
        <v>21592</v>
      </c>
      <c r="G12" s="19">
        <v>11045</v>
      </c>
      <c r="H12" s="19">
        <v>11697</v>
      </c>
      <c r="I12" s="18">
        <f>306+834+9268+2</f>
        <v>10410</v>
      </c>
      <c r="J12" s="19">
        <v>12698</v>
      </c>
      <c r="K12" s="19">
        <v>12661</v>
      </c>
      <c r="L12" s="19">
        <v>14180</v>
      </c>
      <c r="M12" s="18">
        <v>14543</v>
      </c>
      <c r="N12" s="19">
        <v>18276</v>
      </c>
      <c r="O12" s="19">
        <v>18033</v>
      </c>
      <c r="P12" s="19">
        <v>18029</v>
      </c>
      <c r="Q12" s="18">
        <v>19335.5</v>
      </c>
      <c r="R12" s="19">
        <v>18276</v>
      </c>
      <c r="S12" s="19">
        <v>25616.042999999998</v>
      </c>
      <c r="T12" s="19">
        <v>25023</v>
      </c>
      <c r="U12" s="18">
        <v>29554</v>
      </c>
      <c r="V12" s="19">
        <v>32238</v>
      </c>
    </row>
    <row r="13" spans="1:22">
      <c r="A13" s="13" t="s">
        <v>56</v>
      </c>
      <c r="B13" s="18">
        <v>1534</v>
      </c>
      <c r="C13" s="18">
        <v>5245</v>
      </c>
      <c r="D13" s="18">
        <v>1352.9960000000001</v>
      </c>
      <c r="E13" s="18">
        <v>3075</v>
      </c>
      <c r="F13" s="19">
        <v>2151</v>
      </c>
      <c r="G13" s="19">
        <v>2080</v>
      </c>
      <c r="H13" s="19">
        <v>5193</v>
      </c>
      <c r="I13" s="18">
        <f>18916</f>
        <v>18916</v>
      </c>
      <c r="J13" s="19">
        <v>35954</v>
      </c>
      <c r="K13" s="19">
        <v>4805</v>
      </c>
      <c r="L13" s="19">
        <v>18892</v>
      </c>
      <c r="M13" s="18">
        <v>19520</v>
      </c>
      <c r="N13" s="19">
        <v>22972</v>
      </c>
      <c r="O13" s="19">
        <v>15452</v>
      </c>
      <c r="P13" s="19">
        <v>38958</v>
      </c>
      <c r="Q13" s="18">
        <v>31589</v>
      </c>
      <c r="R13" s="19">
        <v>22972</v>
      </c>
      <c r="S13" s="19">
        <v>27203.499</v>
      </c>
      <c r="T13" s="19">
        <v>20747</v>
      </c>
      <c r="U13" s="18">
        <v>8477</v>
      </c>
      <c r="V13" s="19">
        <v>10044</v>
      </c>
    </row>
    <row r="14" spans="1:22" s="58" customFormat="1">
      <c r="A14" s="58" t="s">
        <v>57</v>
      </c>
      <c r="B14" s="59">
        <f>SUM(B11:B13)</f>
        <v>15173</v>
      </c>
      <c r="C14" s="59">
        <f t="shared" ref="C14:G14" si="5">SUM(C11:C13)</f>
        <v>16590</v>
      </c>
      <c r="D14" s="59">
        <f t="shared" si="5"/>
        <v>19418.456999999999</v>
      </c>
      <c r="E14" s="59">
        <f t="shared" si="5"/>
        <v>20043</v>
      </c>
      <c r="F14" s="60">
        <f t="shared" si="5"/>
        <v>24592</v>
      </c>
      <c r="G14" s="60">
        <f t="shared" si="5"/>
        <v>14093</v>
      </c>
      <c r="H14" s="60">
        <f t="shared" ref="H14" si="6">SUM(H11:H13)</f>
        <v>17564</v>
      </c>
      <c r="I14" s="59">
        <f>SUM(I11:I13)</f>
        <v>29825</v>
      </c>
      <c r="J14" s="60">
        <f t="shared" ref="J14" si="7">SUM(J11:J13)</f>
        <v>49006</v>
      </c>
      <c r="K14" s="60">
        <f t="shared" ref="K14:N14" si="8">SUM(K11:K13)</f>
        <v>19502</v>
      </c>
      <c r="L14" s="60">
        <f t="shared" si="8"/>
        <v>34834</v>
      </c>
      <c r="M14" s="60">
        <f t="shared" si="8"/>
        <v>36399</v>
      </c>
      <c r="N14" s="60">
        <f t="shared" si="8"/>
        <v>45070</v>
      </c>
      <c r="O14" s="60">
        <f t="shared" ref="O14:R14" si="9">SUM(O11:O13)</f>
        <v>36785</v>
      </c>
      <c r="P14" s="60">
        <f t="shared" si="9"/>
        <v>58624</v>
      </c>
      <c r="Q14" s="60">
        <f t="shared" si="9"/>
        <v>53726</v>
      </c>
      <c r="R14" s="60">
        <f t="shared" si="9"/>
        <v>45070</v>
      </c>
      <c r="S14" s="60">
        <f t="shared" ref="S14:V14" si="10">SUM(S11:S13)</f>
        <v>55140.891999999993</v>
      </c>
      <c r="T14" s="60">
        <f t="shared" si="10"/>
        <v>48258</v>
      </c>
      <c r="U14" s="60">
        <f t="shared" si="10"/>
        <v>41618</v>
      </c>
      <c r="V14" s="60">
        <f t="shared" si="10"/>
        <v>45130</v>
      </c>
    </row>
    <row r="15" spans="1:22" s="44" customFormat="1">
      <c r="A15" s="61" t="s">
        <v>58</v>
      </c>
      <c r="B15" s="62">
        <f>B14+B10</f>
        <v>129514</v>
      </c>
      <c r="C15" s="62">
        <f t="shared" ref="C15:G15" si="11">C14+C10</f>
        <v>138396</v>
      </c>
      <c r="D15" s="62">
        <f t="shared" si="11"/>
        <v>144983.16</v>
      </c>
      <c r="E15" s="62">
        <f t="shared" si="11"/>
        <v>149641.18299999999</v>
      </c>
      <c r="F15" s="63">
        <f t="shared" si="11"/>
        <v>153618</v>
      </c>
      <c r="G15" s="63">
        <f t="shared" si="11"/>
        <v>142415</v>
      </c>
      <c r="H15" s="63">
        <f t="shared" ref="H15" si="12">H14+H10</f>
        <v>145493</v>
      </c>
      <c r="I15" s="62">
        <f>I14+I10</f>
        <v>159280</v>
      </c>
      <c r="J15" s="63">
        <f t="shared" ref="J15" si="13">J14+J10</f>
        <v>175041</v>
      </c>
      <c r="K15" s="63">
        <f t="shared" ref="K15:N15" si="14">K14+K10</f>
        <v>140972</v>
      </c>
      <c r="L15" s="63">
        <f t="shared" si="14"/>
        <v>151432</v>
      </c>
      <c r="M15" s="63">
        <f t="shared" si="14"/>
        <v>157993</v>
      </c>
      <c r="N15" s="63">
        <f t="shared" si="14"/>
        <v>162661</v>
      </c>
      <c r="O15" s="63">
        <f t="shared" ref="O15:R15" si="15">O14+O10</f>
        <v>152426</v>
      </c>
      <c r="P15" s="63">
        <f t="shared" si="15"/>
        <v>173254</v>
      </c>
      <c r="Q15" s="63">
        <f t="shared" si="15"/>
        <v>166026.79999999999</v>
      </c>
      <c r="R15" s="63">
        <f t="shared" si="15"/>
        <v>162661</v>
      </c>
      <c r="S15" s="63">
        <f t="shared" ref="S15:V15" si="16">S14+S10</f>
        <v>188108.72228913</v>
      </c>
      <c r="T15" s="63">
        <f t="shared" si="16"/>
        <v>184992</v>
      </c>
      <c r="U15" s="63">
        <f t="shared" si="16"/>
        <v>181031</v>
      </c>
      <c r="V15" s="63">
        <f t="shared" si="16"/>
        <v>184809</v>
      </c>
    </row>
    <row r="16" spans="1:22">
      <c r="B16" s="18"/>
      <c r="C16" s="18"/>
      <c r="D16" s="18"/>
      <c r="E16" s="18"/>
      <c r="F16" s="19"/>
      <c r="G16" s="19"/>
      <c r="H16" s="19"/>
      <c r="I16" s="18"/>
      <c r="J16" s="19"/>
      <c r="K16" s="19"/>
      <c r="L16" s="19"/>
      <c r="M16" s="18"/>
      <c r="N16" s="19"/>
      <c r="O16" s="19"/>
      <c r="P16" s="19"/>
      <c r="Q16" s="18"/>
      <c r="R16" s="19"/>
      <c r="S16" s="19"/>
      <c r="T16" s="19"/>
      <c r="U16" s="18"/>
      <c r="V16" s="19"/>
    </row>
    <row r="17" spans="1:22">
      <c r="A17" s="44" t="s">
        <v>59</v>
      </c>
      <c r="B17" s="18"/>
      <c r="C17" s="18"/>
      <c r="D17" s="18"/>
      <c r="E17" s="18"/>
      <c r="F17" s="19"/>
      <c r="G17" s="19"/>
      <c r="H17" s="19"/>
      <c r="I17" s="18"/>
      <c r="J17" s="19"/>
      <c r="K17" s="19"/>
      <c r="L17" s="19"/>
      <c r="M17" s="18"/>
      <c r="N17" s="19"/>
      <c r="O17" s="19"/>
      <c r="P17" s="19"/>
      <c r="Q17" s="18"/>
      <c r="R17" s="19"/>
      <c r="S17" s="19"/>
      <c r="T17" s="19"/>
      <c r="U17" s="18"/>
      <c r="V17" s="19"/>
    </row>
    <row r="18" spans="1:22">
      <c r="A18" s="13" t="s">
        <v>60</v>
      </c>
      <c r="B18" s="18">
        <v>3914</v>
      </c>
      <c r="C18" s="18">
        <v>3914.895</v>
      </c>
      <c r="D18" s="18">
        <v>3914.895</v>
      </c>
      <c r="E18" s="18">
        <v>33800</v>
      </c>
      <c r="F18" s="19">
        <v>33800</v>
      </c>
      <c r="G18" s="19">
        <v>33800</v>
      </c>
      <c r="H18" s="19">
        <v>33800</v>
      </c>
      <c r="I18" s="18">
        <v>33800</v>
      </c>
      <c r="J18" s="19">
        <v>33800</v>
      </c>
      <c r="K18" s="19">
        <v>33800</v>
      </c>
      <c r="L18" s="19">
        <v>33800</v>
      </c>
      <c r="M18" s="18">
        <v>33800</v>
      </c>
      <c r="N18" s="19">
        <v>33800</v>
      </c>
      <c r="O18" s="19">
        <v>33800</v>
      </c>
      <c r="P18" s="19">
        <v>33800</v>
      </c>
      <c r="Q18" s="18">
        <v>33800</v>
      </c>
      <c r="R18" s="19">
        <v>33800</v>
      </c>
      <c r="S18" s="19">
        <v>33800</v>
      </c>
      <c r="T18" s="19">
        <v>33800</v>
      </c>
      <c r="U18" s="18">
        <v>33800</v>
      </c>
      <c r="V18" s="19">
        <v>33800</v>
      </c>
    </row>
    <row r="19" spans="1:22">
      <c r="A19" s="13" t="s">
        <v>61</v>
      </c>
      <c r="B19" s="18">
        <v>94312</v>
      </c>
      <c r="C19" s="18">
        <v>107479</v>
      </c>
      <c r="D19" s="18">
        <v>116337.56299999999</v>
      </c>
      <c r="E19" s="18">
        <v>32403</v>
      </c>
      <c r="F19" s="19">
        <v>46059</v>
      </c>
      <c r="G19" s="19">
        <v>29208</v>
      </c>
      <c r="H19" s="19">
        <v>45129</v>
      </c>
      <c r="I19" s="18">
        <v>63393</v>
      </c>
      <c r="J19" s="19">
        <v>79028</v>
      </c>
      <c r="K19" s="19">
        <v>32150</v>
      </c>
      <c r="L19" s="19">
        <v>45607</v>
      </c>
      <c r="M19" s="18">
        <v>58274</v>
      </c>
      <c r="N19" s="19">
        <v>71508</v>
      </c>
      <c r="O19" s="19">
        <v>24567</v>
      </c>
      <c r="P19" s="19">
        <v>39680</v>
      </c>
      <c r="Q19" s="18">
        <v>46646</v>
      </c>
      <c r="R19" s="19">
        <v>71508</v>
      </c>
      <c r="S19" s="19">
        <v>33451.226999999999</v>
      </c>
      <c r="T19" s="19">
        <v>37830</v>
      </c>
      <c r="U19" s="18">
        <v>38880</v>
      </c>
      <c r="V19" s="19">
        <v>42679</v>
      </c>
    </row>
    <row r="20" spans="1:22" s="58" customFormat="1">
      <c r="A20" s="58" t="s">
        <v>103</v>
      </c>
      <c r="B20" s="59">
        <f>SUM(B18:B19)</f>
        <v>98226</v>
      </c>
      <c r="C20" s="59">
        <f t="shared" ref="C20:G20" si="17">SUM(C18:C19)</f>
        <v>111393.895</v>
      </c>
      <c r="D20" s="59">
        <f t="shared" si="17"/>
        <v>120252.458</v>
      </c>
      <c r="E20" s="59">
        <f t="shared" si="17"/>
        <v>66203</v>
      </c>
      <c r="F20" s="60">
        <f t="shared" si="17"/>
        <v>79859</v>
      </c>
      <c r="G20" s="60">
        <f t="shared" si="17"/>
        <v>63008</v>
      </c>
      <c r="H20" s="60">
        <f t="shared" ref="H20" si="18">SUM(H18:H19)</f>
        <v>78929</v>
      </c>
      <c r="I20" s="59">
        <f>SUM(I18:I19)</f>
        <v>97193</v>
      </c>
      <c r="J20" s="60">
        <f t="shared" ref="J20" si="19">SUM(J18:J19)</f>
        <v>112828</v>
      </c>
      <c r="K20" s="60">
        <f t="shared" ref="K20:N20" si="20">SUM(K18:K19)</f>
        <v>65950</v>
      </c>
      <c r="L20" s="60">
        <f t="shared" si="20"/>
        <v>79407</v>
      </c>
      <c r="M20" s="60">
        <f t="shared" si="20"/>
        <v>92074</v>
      </c>
      <c r="N20" s="60">
        <f t="shared" si="20"/>
        <v>105308</v>
      </c>
      <c r="O20" s="60">
        <f t="shared" ref="O20:R20" si="21">SUM(O18:O19)</f>
        <v>58367</v>
      </c>
      <c r="P20" s="60">
        <f t="shared" si="21"/>
        <v>73480</v>
      </c>
      <c r="Q20" s="60">
        <f t="shared" si="21"/>
        <v>80446</v>
      </c>
      <c r="R20" s="60">
        <f t="shared" si="21"/>
        <v>105308</v>
      </c>
      <c r="S20" s="60">
        <f t="shared" ref="S20:V20" si="22">SUM(S18:S19)</f>
        <v>67251.226999999999</v>
      </c>
      <c r="T20" s="60">
        <f t="shared" si="22"/>
        <v>71630</v>
      </c>
      <c r="U20" s="60">
        <f t="shared" si="22"/>
        <v>72680</v>
      </c>
      <c r="V20" s="60">
        <f t="shared" si="22"/>
        <v>76479</v>
      </c>
    </row>
    <row r="21" spans="1:22">
      <c r="A21" s="13" t="s">
        <v>62</v>
      </c>
      <c r="B21" s="18">
        <v>0</v>
      </c>
      <c r="C21" s="18">
        <v>0</v>
      </c>
      <c r="D21" s="18">
        <v>0</v>
      </c>
      <c r="E21" s="18">
        <v>0</v>
      </c>
      <c r="F21" s="19">
        <v>0</v>
      </c>
      <c r="G21" s="19">
        <v>0</v>
      </c>
      <c r="H21" s="19">
        <v>0</v>
      </c>
      <c r="I21" s="18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8000</v>
      </c>
      <c r="U21" s="73">
        <v>8000</v>
      </c>
      <c r="V21" s="19">
        <v>34000</v>
      </c>
    </row>
    <row r="22" spans="1:22">
      <c r="A22" s="13" t="s">
        <v>63</v>
      </c>
      <c r="B22" s="18">
        <v>3996</v>
      </c>
      <c r="C22" s="18">
        <v>4086</v>
      </c>
      <c r="D22" s="18">
        <v>3990.9340000000002</v>
      </c>
      <c r="E22" s="18">
        <v>5104</v>
      </c>
      <c r="F22" s="19">
        <v>5252</v>
      </c>
      <c r="G22" s="19">
        <v>5699</v>
      </c>
      <c r="H22" s="19">
        <v>5800</v>
      </c>
      <c r="I22" s="18">
        <v>5232</v>
      </c>
      <c r="J22" s="19">
        <v>5262</v>
      </c>
      <c r="K22" s="19">
        <v>5296</v>
      </c>
      <c r="L22" s="19">
        <v>5486</v>
      </c>
      <c r="M22" s="18">
        <v>4442</v>
      </c>
      <c r="N22" s="19">
        <v>4432</v>
      </c>
      <c r="O22" s="19">
        <v>4271</v>
      </c>
      <c r="P22" s="19">
        <v>4932</v>
      </c>
      <c r="Q22" s="18">
        <v>5037</v>
      </c>
      <c r="R22" s="19">
        <v>4432</v>
      </c>
      <c r="S22" s="19">
        <v>4693.165</v>
      </c>
      <c r="T22" s="19">
        <v>4219</v>
      </c>
      <c r="U22" s="18">
        <v>6012</v>
      </c>
      <c r="V22" s="19">
        <v>5544</v>
      </c>
    </row>
    <row r="23" spans="1:22">
      <c r="A23" s="13" t="s">
        <v>64</v>
      </c>
      <c r="B23" s="18">
        <v>350</v>
      </c>
      <c r="C23" s="18">
        <v>494.88099999999997</v>
      </c>
      <c r="D23" s="18">
        <v>494.88099999999997</v>
      </c>
      <c r="E23" s="18">
        <v>988</v>
      </c>
      <c r="F23" s="19">
        <v>1408</v>
      </c>
      <c r="G23" s="19">
        <v>988</v>
      </c>
      <c r="H23" s="19">
        <v>988</v>
      </c>
      <c r="I23" s="18">
        <v>1426</v>
      </c>
      <c r="J23" s="19">
        <v>1388</v>
      </c>
      <c r="K23" s="19">
        <v>1350</v>
      </c>
      <c r="L23" s="19">
        <v>1312</v>
      </c>
      <c r="M23" s="18">
        <v>1376</v>
      </c>
      <c r="N23" s="19">
        <v>1350</v>
      </c>
      <c r="O23" s="19">
        <v>1362</v>
      </c>
      <c r="P23" s="19">
        <v>1323</v>
      </c>
      <c r="Q23" s="18">
        <v>1286</v>
      </c>
      <c r="R23" s="19">
        <v>1350</v>
      </c>
      <c r="S23" s="19">
        <v>1285.482</v>
      </c>
      <c r="T23" s="19">
        <v>1285</v>
      </c>
      <c r="U23" s="18">
        <v>1285.5</v>
      </c>
      <c r="V23" s="19">
        <v>1355</v>
      </c>
    </row>
    <row r="24" spans="1:22" s="58" customFormat="1">
      <c r="A24" s="58" t="s">
        <v>65</v>
      </c>
      <c r="B24" s="59">
        <f>SUM(B21:B23)</f>
        <v>4346</v>
      </c>
      <c r="C24" s="59">
        <f t="shared" ref="C24:G24" si="23">SUM(C21:C23)</f>
        <v>4580.8810000000003</v>
      </c>
      <c r="D24" s="59">
        <f t="shared" si="23"/>
        <v>4485.8150000000005</v>
      </c>
      <c r="E24" s="59">
        <f t="shared" si="23"/>
        <v>6092</v>
      </c>
      <c r="F24" s="60">
        <f t="shared" si="23"/>
        <v>6660</v>
      </c>
      <c r="G24" s="60">
        <f t="shared" si="23"/>
        <v>6687</v>
      </c>
      <c r="H24" s="60">
        <f t="shared" ref="H24" si="24">SUM(H21:H23)</f>
        <v>6788</v>
      </c>
      <c r="I24" s="59">
        <f>SUM(I21:I23)</f>
        <v>6658</v>
      </c>
      <c r="J24" s="60">
        <f t="shared" ref="J24" si="25">SUM(J21:J23)</f>
        <v>6650</v>
      </c>
      <c r="K24" s="60">
        <f t="shared" ref="K24:N24" si="26">SUM(K21:K23)</f>
        <v>6646</v>
      </c>
      <c r="L24" s="60">
        <f t="shared" si="26"/>
        <v>6798</v>
      </c>
      <c r="M24" s="60">
        <f t="shared" si="26"/>
        <v>5818</v>
      </c>
      <c r="N24" s="60">
        <f t="shared" si="26"/>
        <v>5782</v>
      </c>
      <c r="O24" s="60">
        <f t="shared" ref="O24:R24" si="27">SUM(O21:O23)</f>
        <v>5633</v>
      </c>
      <c r="P24" s="60">
        <f t="shared" si="27"/>
        <v>6255</v>
      </c>
      <c r="Q24" s="60">
        <f t="shared" si="27"/>
        <v>6323</v>
      </c>
      <c r="R24" s="60">
        <f t="shared" si="27"/>
        <v>5782</v>
      </c>
      <c r="S24" s="60">
        <f t="shared" ref="S24:V24" si="28">SUM(S21:S23)</f>
        <v>5978.6469999999999</v>
      </c>
      <c r="T24" s="60">
        <f t="shared" si="28"/>
        <v>13504</v>
      </c>
      <c r="U24" s="60">
        <f t="shared" si="28"/>
        <v>15297.5</v>
      </c>
      <c r="V24" s="60">
        <f t="shared" si="28"/>
        <v>40899</v>
      </c>
    </row>
    <row r="25" spans="1:22">
      <c r="A25" s="13" t="s">
        <v>66</v>
      </c>
      <c r="B25" s="18">
        <v>0</v>
      </c>
      <c r="C25" s="18">
        <v>0</v>
      </c>
      <c r="D25" s="18">
        <v>0</v>
      </c>
      <c r="E25" s="18">
        <v>48991</v>
      </c>
      <c r="F25" s="19">
        <v>44772</v>
      </c>
      <c r="G25" s="19">
        <v>50992</v>
      </c>
      <c r="H25" s="19">
        <v>30530</v>
      </c>
      <c r="I25" s="18">
        <v>24721</v>
      </c>
      <c r="J25" s="19">
        <v>23526</v>
      </c>
      <c r="K25" s="19">
        <v>20766</v>
      </c>
      <c r="L25" s="19">
        <v>16719</v>
      </c>
      <c r="M25" s="18">
        <v>25020</v>
      </c>
      <c r="N25" s="19">
        <v>24727</v>
      </c>
      <c r="O25" s="19">
        <v>47155</v>
      </c>
      <c r="P25" s="19">
        <v>50162</v>
      </c>
      <c r="Q25" s="18">
        <v>50201</v>
      </c>
      <c r="R25" s="19">
        <v>24727</v>
      </c>
      <c r="S25" s="19">
        <v>56432.800999999999</v>
      </c>
      <c r="T25" s="19">
        <v>57352</v>
      </c>
      <c r="U25" s="18">
        <v>57415</v>
      </c>
      <c r="V25" s="19">
        <v>31274</v>
      </c>
    </row>
    <row r="26" spans="1:22">
      <c r="A26" s="13" t="s">
        <v>105</v>
      </c>
      <c r="B26" s="18">
        <v>26942</v>
      </c>
      <c r="C26" s="18">
        <v>22421</v>
      </c>
      <c r="D26" s="18">
        <v>20244.887000000002</v>
      </c>
      <c r="E26" s="18">
        <v>28355</v>
      </c>
      <c r="F26" s="19">
        <v>22327</v>
      </c>
      <c r="G26" s="19">
        <v>21728</v>
      </c>
      <c r="H26" s="19">
        <v>29246</v>
      </c>
      <c r="I26" s="18">
        <v>30708</v>
      </c>
      <c r="J26" s="19">
        <v>32037</v>
      </c>
      <c r="K26" s="19">
        <v>47610</v>
      </c>
      <c r="L26" s="19">
        <v>48508</v>
      </c>
      <c r="M26" s="18">
        <v>35081</v>
      </c>
      <c r="N26" s="19">
        <v>26844</v>
      </c>
      <c r="O26" s="19">
        <v>41271</v>
      </c>
      <c r="P26" s="19">
        <v>43357</v>
      </c>
      <c r="Q26" s="18">
        <v>29057</v>
      </c>
      <c r="R26" s="19">
        <v>26844</v>
      </c>
      <c r="S26" s="19">
        <v>58446.108</v>
      </c>
      <c r="T26" s="19">
        <v>42506</v>
      </c>
      <c r="U26" s="18">
        <v>35638.400000000001</v>
      </c>
      <c r="V26" s="19">
        <v>36157</v>
      </c>
    </row>
    <row r="27" spans="1:22" s="58" customFormat="1">
      <c r="A27" s="58" t="s">
        <v>67</v>
      </c>
      <c r="B27" s="59">
        <f t="shared" ref="B27:G27" si="29">SUM(B25:B26)</f>
        <v>26942</v>
      </c>
      <c r="C27" s="59">
        <f t="shared" si="29"/>
        <v>22421</v>
      </c>
      <c r="D27" s="59">
        <f t="shared" si="29"/>
        <v>20244.887000000002</v>
      </c>
      <c r="E27" s="59">
        <f t="shared" si="29"/>
        <v>77346</v>
      </c>
      <c r="F27" s="60">
        <f t="shared" si="29"/>
        <v>67099</v>
      </c>
      <c r="G27" s="60">
        <f t="shared" si="29"/>
        <v>72720</v>
      </c>
      <c r="H27" s="60">
        <f t="shared" ref="H27" si="30">SUM(H25:H26)</f>
        <v>59776</v>
      </c>
      <c r="I27" s="59">
        <f>SUM(I25:I26)</f>
        <v>55429</v>
      </c>
      <c r="J27" s="60">
        <f>SUM(J25:J26)</f>
        <v>55563</v>
      </c>
      <c r="K27" s="60">
        <f>SUM(K25:K26)</f>
        <v>68376</v>
      </c>
      <c r="L27" s="60">
        <f t="shared" ref="L27:M27" si="31">SUM(L25:L26)</f>
        <v>65227</v>
      </c>
      <c r="M27" s="60">
        <f t="shared" si="31"/>
        <v>60101</v>
      </c>
      <c r="N27" s="60">
        <f>SUM(N25:N26)</f>
        <v>51571</v>
      </c>
      <c r="O27" s="60">
        <f>SUM(O25:O26)</f>
        <v>88426</v>
      </c>
      <c r="P27" s="60">
        <f t="shared" ref="P27:Q27" si="32">SUM(P25:P26)</f>
        <v>93519</v>
      </c>
      <c r="Q27" s="60">
        <f t="shared" si="32"/>
        <v>79258</v>
      </c>
      <c r="R27" s="60">
        <f>SUM(R25:R26)</f>
        <v>51571</v>
      </c>
      <c r="S27" s="60">
        <f>SUM(S25:S26)</f>
        <v>114878.909</v>
      </c>
      <c r="T27" s="60">
        <f>SUM(T25:T26)</f>
        <v>99858</v>
      </c>
      <c r="U27" s="60">
        <f t="shared" ref="U27" si="33">SUM(U25:U26)</f>
        <v>93053.4</v>
      </c>
      <c r="V27" s="60">
        <f>SUM(V25:V26)</f>
        <v>67431</v>
      </c>
    </row>
    <row r="28" spans="1:22" s="58" customFormat="1">
      <c r="A28" s="58" t="s">
        <v>104</v>
      </c>
      <c r="B28" s="59">
        <f t="shared" ref="B28:G28" si="34">B27+B24</f>
        <v>31288</v>
      </c>
      <c r="C28" s="59">
        <f t="shared" si="34"/>
        <v>27001.881000000001</v>
      </c>
      <c r="D28" s="59">
        <f t="shared" si="34"/>
        <v>24730.702000000005</v>
      </c>
      <c r="E28" s="59">
        <f t="shared" si="34"/>
        <v>83438</v>
      </c>
      <c r="F28" s="60">
        <f t="shared" si="34"/>
        <v>73759</v>
      </c>
      <c r="G28" s="60">
        <f t="shared" si="34"/>
        <v>79407</v>
      </c>
      <c r="H28" s="60">
        <f t="shared" ref="H28" si="35">H27+H24</f>
        <v>66564</v>
      </c>
      <c r="I28" s="59">
        <f>I27+I24</f>
        <v>62087</v>
      </c>
      <c r="J28" s="60">
        <f>J27+J24</f>
        <v>62213</v>
      </c>
      <c r="K28" s="60">
        <f>K27+K24</f>
        <v>75022</v>
      </c>
      <c r="L28" s="60">
        <f t="shared" ref="L28:M28" si="36">L27+L24</f>
        <v>72025</v>
      </c>
      <c r="M28" s="60">
        <f t="shared" si="36"/>
        <v>65919</v>
      </c>
      <c r="N28" s="60">
        <f>N27+N24</f>
        <v>57353</v>
      </c>
      <c r="O28" s="60">
        <f>O27+O24</f>
        <v>94059</v>
      </c>
      <c r="P28" s="60">
        <f t="shared" ref="P28:Q28" si="37">P27+P24</f>
        <v>99774</v>
      </c>
      <c r="Q28" s="60">
        <f t="shared" si="37"/>
        <v>85581</v>
      </c>
      <c r="R28" s="60">
        <f>R27+R24</f>
        <v>57353</v>
      </c>
      <c r="S28" s="60">
        <f>S27+S24</f>
        <v>120857.556</v>
      </c>
      <c r="T28" s="60">
        <f>T27+T24</f>
        <v>113362</v>
      </c>
      <c r="U28" s="60">
        <f t="shared" ref="U28" si="38">U27+U24</f>
        <v>108350.9</v>
      </c>
      <c r="V28" s="60">
        <f>V27+V24</f>
        <v>108330</v>
      </c>
    </row>
    <row r="29" spans="1:22" s="44" customFormat="1">
      <c r="A29" s="61" t="s">
        <v>68</v>
      </c>
      <c r="B29" s="62">
        <f t="shared" ref="B29:G29" si="39">B28+B20</f>
        <v>129514</v>
      </c>
      <c r="C29" s="62">
        <f t="shared" si="39"/>
        <v>138395.77600000001</v>
      </c>
      <c r="D29" s="62">
        <f t="shared" si="39"/>
        <v>144983.16</v>
      </c>
      <c r="E29" s="62">
        <f t="shared" si="39"/>
        <v>149641</v>
      </c>
      <c r="F29" s="63">
        <f t="shared" si="39"/>
        <v>153618</v>
      </c>
      <c r="G29" s="63">
        <f t="shared" si="39"/>
        <v>142415</v>
      </c>
      <c r="H29" s="63">
        <f t="shared" ref="H29" si="40">H28+H20</f>
        <v>145493</v>
      </c>
      <c r="I29" s="62">
        <f>I28+I20</f>
        <v>159280</v>
      </c>
      <c r="J29" s="63">
        <f>J28+J20</f>
        <v>175041</v>
      </c>
      <c r="K29" s="63">
        <f>K28+K20</f>
        <v>140972</v>
      </c>
      <c r="L29" s="63">
        <f t="shared" ref="L29:M29" si="41">L28+L20</f>
        <v>151432</v>
      </c>
      <c r="M29" s="63">
        <f t="shared" si="41"/>
        <v>157993</v>
      </c>
      <c r="N29" s="63">
        <f>N28+N20</f>
        <v>162661</v>
      </c>
      <c r="O29" s="63">
        <f>O28+O20</f>
        <v>152426</v>
      </c>
      <c r="P29" s="63">
        <f t="shared" ref="P29:Q29" si="42">P28+P20</f>
        <v>173254</v>
      </c>
      <c r="Q29" s="63">
        <f t="shared" si="42"/>
        <v>166027</v>
      </c>
      <c r="R29" s="63">
        <f>R28+R20</f>
        <v>162661</v>
      </c>
      <c r="S29" s="63">
        <f>S28+S20</f>
        <v>188108.783</v>
      </c>
      <c r="T29" s="63">
        <f>T28+T20</f>
        <v>184992</v>
      </c>
      <c r="U29" s="63">
        <f t="shared" ref="U29" si="43">U28+U20</f>
        <v>181030.9</v>
      </c>
      <c r="V29" s="63">
        <f>V28+V20</f>
        <v>184809</v>
      </c>
    </row>
    <row r="30" spans="1:22">
      <c r="B30" s="20">
        <f t="shared" ref="B30:G30" si="44">B29-B15</f>
        <v>0</v>
      </c>
      <c r="C30" s="20">
        <f t="shared" si="44"/>
        <v>-0.22399999998742715</v>
      </c>
      <c r="D30" s="20">
        <f t="shared" si="44"/>
        <v>0</v>
      </c>
      <c r="E30" s="20">
        <f t="shared" si="44"/>
        <v>-0.18299999998998828</v>
      </c>
      <c r="F30" s="21">
        <f t="shared" si="44"/>
        <v>0</v>
      </c>
      <c r="G30" s="21">
        <f t="shared" si="44"/>
        <v>0</v>
      </c>
      <c r="H30" s="21">
        <f t="shared" ref="H30" si="45">H29-H15</f>
        <v>0</v>
      </c>
      <c r="I30" s="20">
        <f>I29-I15</f>
        <v>0</v>
      </c>
      <c r="J30" s="21">
        <f>J29-J15</f>
        <v>0</v>
      </c>
      <c r="K30" s="21">
        <f>K29-K15</f>
        <v>0</v>
      </c>
      <c r="L30" s="21">
        <f t="shared" ref="L30:M30" si="46">L29-L15</f>
        <v>0</v>
      </c>
      <c r="M30" s="21">
        <f t="shared" si="46"/>
        <v>0</v>
      </c>
      <c r="N30" s="21">
        <f>N29-N15</f>
        <v>0</v>
      </c>
      <c r="O30" s="21">
        <f>O29-O15</f>
        <v>0</v>
      </c>
      <c r="P30" s="21">
        <f t="shared" ref="P30:Q30" si="47">P29-P15</f>
        <v>0</v>
      </c>
      <c r="Q30" s="21">
        <f t="shared" si="47"/>
        <v>0.20000000001164153</v>
      </c>
      <c r="R30" s="21">
        <f>R29-R15</f>
        <v>0</v>
      </c>
      <c r="S30" s="21">
        <f>S29-S15</f>
        <v>6.0710869991453364E-2</v>
      </c>
      <c r="T30" s="21">
        <f>T29-T15</f>
        <v>0</v>
      </c>
      <c r="U30" s="21">
        <f t="shared" ref="U30" si="48">U29-U15</f>
        <v>-0.10000000000582077</v>
      </c>
      <c r="V30" s="21">
        <f>V29-V15</f>
        <v>0</v>
      </c>
    </row>
    <row r="33" spans="2:5">
      <c r="B33" s="20"/>
      <c r="C33" s="20"/>
      <c r="D33" s="20"/>
      <c r="E33" s="20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F23" sqref="AF23"/>
    </sheetView>
  </sheetViews>
  <sheetFormatPr defaultColWidth="8.85546875" defaultRowHeight="12.75" outlineLevelCol="1"/>
  <cols>
    <col min="1" max="1" width="59.85546875" style="13" customWidth="1"/>
    <col min="2" max="5" width="13.5703125" style="13" hidden="1" customWidth="1" outlineLevel="1"/>
    <col min="6" max="9" width="11.28515625" style="45" hidden="1" customWidth="1" outlineLevel="1"/>
    <col min="10" max="10" width="13.5703125" style="13" hidden="1" customWidth="1" outlineLevel="1"/>
    <col min="11" max="11" width="9.7109375" style="45" hidden="1" customWidth="1" outlineLevel="1"/>
    <col min="12" max="14" width="10.28515625" style="45" hidden="1" customWidth="1" outlineLevel="1"/>
    <col min="15" max="15" width="10" style="13" hidden="1" customWidth="1" outlineLevel="1"/>
    <col min="16" max="19" width="10.28515625" style="13" hidden="1" customWidth="1" outlineLevel="1"/>
    <col min="20" max="21" width="9.28515625" style="13" hidden="1" customWidth="1" outlineLevel="1"/>
    <col min="22" max="24" width="9" style="13" hidden="1" customWidth="1" outlineLevel="1"/>
    <col min="25" max="25" width="8.85546875" style="13" collapsed="1"/>
    <col min="26" max="29" width="8.85546875" style="13"/>
    <col min="30" max="30" width="8.85546875" style="13" collapsed="1"/>
    <col min="31" max="16384" width="8.85546875" style="13"/>
  </cols>
  <sheetData>
    <row r="2" spans="1:34">
      <c r="A2" s="10" t="s">
        <v>69</v>
      </c>
      <c r="B2" s="11" t="s">
        <v>12</v>
      </c>
      <c r="C2" s="11" t="s">
        <v>10</v>
      </c>
      <c r="D2" s="12">
        <v>2011</v>
      </c>
      <c r="E2" s="11" t="s">
        <v>13</v>
      </c>
      <c r="F2" s="51" t="s">
        <v>13</v>
      </c>
      <c r="G2" s="51" t="s">
        <v>13</v>
      </c>
      <c r="H2" s="51" t="s">
        <v>13</v>
      </c>
      <c r="I2" s="51" t="s">
        <v>13</v>
      </c>
      <c r="J2" s="11" t="s">
        <v>94</v>
      </c>
      <c r="K2" s="51" t="s">
        <v>94</v>
      </c>
      <c r="L2" s="51" t="s">
        <v>94</v>
      </c>
      <c r="M2" s="51" t="s">
        <v>94</v>
      </c>
      <c r="N2" s="51" t="s">
        <v>94</v>
      </c>
      <c r="O2" s="11" t="s">
        <v>102</v>
      </c>
      <c r="P2" s="51" t="s">
        <v>102</v>
      </c>
      <c r="Q2" s="51" t="s">
        <v>102</v>
      </c>
      <c r="R2" s="51" t="s">
        <v>102</v>
      </c>
      <c r="S2" s="51" t="s">
        <v>102</v>
      </c>
      <c r="T2" s="11" t="s">
        <v>115</v>
      </c>
      <c r="U2" s="51" t="s">
        <v>115</v>
      </c>
      <c r="V2" s="51" t="s">
        <v>115</v>
      </c>
      <c r="W2" s="51" t="s">
        <v>115</v>
      </c>
      <c r="X2" s="51" t="s">
        <v>115</v>
      </c>
      <c r="Y2" s="11">
        <v>2016</v>
      </c>
      <c r="Z2" s="51">
        <v>2016</v>
      </c>
      <c r="AA2" s="51">
        <v>2016</v>
      </c>
      <c r="AB2" s="51">
        <v>2016</v>
      </c>
      <c r="AC2" s="51">
        <v>2016</v>
      </c>
      <c r="AD2" s="11">
        <v>2016</v>
      </c>
      <c r="AE2" s="51">
        <v>2016</v>
      </c>
      <c r="AF2" s="51">
        <v>2016</v>
      </c>
      <c r="AG2" s="51">
        <v>2016</v>
      </c>
      <c r="AH2" s="51">
        <v>2016</v>
      </c>
    </row>
    <row r="3" spans="1:34">
      <c r="A3" s="14" t="s">
        <v>48</v>
      </c>
      <c r="B3" s="15" t="s">
        <v>11</v>
      </c>
      <c r="C3" s="15" t="s">
        <v>11</v>
      </c>
      <c r="D3" s="16" t="s">
        <v>11</v>
      </c>
      <c r="E3" s="15" t="s">
        <v>11</v>
      </c>
      <c r="F3" s="52" t="s">
        <v>90</v>
      </c>
      <c r="G3" s="52" t="s">
        <v>91</v>
      </c>
      <c r="H3" s="52" t="s">
        <v>92</v>
      </c>
      <c r="I3" s="52" t="s">
        <v>93</v>
      </c>
      <c r="J3" s="15" t="s">
        <v>11</v>
      </c>
      <c r="K3" s="52" t="s">
        <v>90</v>
      </c>
      <c r="L3" s="52" t="s">
        <v>91</v>
      </c>
      <c r="M3" s="52" t="s">
        <v>92</v>
      </c>
      <c r="N3" s="52" t="s">
        <v>93</v>
      </c>
      <c r="O3" s="17" t="s">
        <v>106</v>
      </c>
      <c r="P3" s="52" t="s">
        <v>90</v>
      </c>
      <c r="Q3" s="52" t="s">
        <v>91</v>
      </c>
      <c r="R3" s="52" t="s">
        <v>92</v>
      </c>
      <c r="S3" s="52" t="s">
        <v>93</v>
      </c>
      <c r="T3" s="17" t="s">
        <v>106</v>
      </c>
      <c r="U3" s="52" t="s">
        <v>90</v>
      </c>
      <c r="V3" s="52" t="s">
        <v>91</v>
      </c>
      <c r="W3" s="52" t="s">
        <v>92</v>
      </c>
      <c r="X3" s="52" t="s">
        <v>93</v>
      </c>
      <c r="Y3" s="17" t="s">
        <v>106</v>
      </c>
      <c r="Z3" s="52" t="s">
        <v>90</v>
      </c>
      <c r="AA3" s="52" t="s">
        <v>91</v>
      </c>
      <c r="AB3" s="52" t="s">
        <v>92</v>
      </c>
      <c r="AC3" s="52" t="s">
        <v>93</v>
      </c>
      <c r="AD3" s="17" t="s">
        <v>106</v>
      </c>
      <c r="AE3" s="52" t="s">
        <v>90</v>
      </c>
      <c r="AF3" s="52" t="s">
        <v>91</v>
      </c>
      <c r="AG3" s="52" t="s">
        <v>92</v>
      </c>
      <c r="AH3" s="52" t="s">
        <v>93</v>
      </c>
    </row>
    <row r="4" spans="1:34">
      <c r="A4" s="13" t="s">
        <v>70</v>
      </c>
      <c r="B4" s="18">
        <v>61268</v>
      </c>
      <c r="C4" s="18">
        <v>75716</v>
      </c>
      <c r="D4" s="18">
        <v>89071</v>
      </c>
      <c r="E4" s="18">
        <v>85324</v>
      </c>
      <c r="F4" s="19">
        <v>19325</v>
      </c>
      <c r="G4" s="19">
        <v>20614</v>
      </c>
      <c r="H4" s="19">
        <v>22584</v>
      </c>
      <c r="I4" s="19">
        <v>22801.4</v>
      </c>
      <c r="J4" s="18">
        <f>SUM(K4:N4)</f>
        <v>90639</v>
      </c>
      <c r="K4" s="19">
        <v>20216</v>
      </c>
      <c r="L4" s="19">
        <v>22323</v>
      </c>
      <c r="M4" s="19">
        <v>22177</v>
      </c>
      <c r="N4" s="19">
        <v>25923</v>
      </c>
      <c r="O4" s="20">
        <f>SUM(P4:S4)</f>
        <v>88251</v>
      </c>
      <c r="P4" s="19">
        <v>20849</v>
      </c>
      <c r="Q4" s="19">
        <v>24767</v>
      </c>
      <c r="R4" s="19">
        <v>22541</v>
      </c>
      <c r="S4" s="19">
        <v>20094</v>
      </c>
      <c r="T4" s="20">
        <f>SUM(U4:X4)</f>
        <v>65572</v>
      </c>
      <c r="U4" s="19">
        <v>19062</v>
      </c>
      <c r="V4" s="19">
        <v>17794</v>
      </c>
      <c r="W4" s="19">
        <v>15386</v>
      </c>
      <c r="X4" s="19">
        <v>13330</v>
      </c>
      <c r="Y4" s="20">
        <f>SUM(Z4:AC4)</f>
        <v>45299</v>
      </c>
      <c r="Z4" s="19">
        <v>10698</v>
      </c>
      <c r="AA4" s="19">
        <v>11507</v>
      </c>
      <c r="AB4" s="19">
        <v>13813</v>
      </c>
      <c r="AC4" s="19">
        <v>9281</v>
      </c>
      <c r="AD4" s="20">
        <f>SUM(AE4:AH4)</f>
        <v>9875</v>
      </c>
      <c r="AE4" s="19">
        <v>9875</v>
      </c>
      <c r="AF4" s="19"/>
      <c r="AG4" s="19"/>
      <c r="AH4" s="19"/>
    </row>
    <row r="5" spans="1:34">
      <c r="A5" s="13" t="s">
        <v>71</v>
      </c>
      <c r="B5" s="18">
        <v>-6131</v>
      </c>
      <c r="C5" s="18">
        <v>8680</v>
      </c>
      <c r="D5" s="18">
        <v>-7659</v>
      </c>
      <c r="E5" s="18">
        <v>863</v>
      </c>
      <c r="F5" s="19">
        <v>-1103</v>
      </c>
      <c r="G5" s="19">
        <v>1134</v>
      </c>
      <c r="H5" s="19">
        <v>146</v>
      </c>
      <c r="I5" s="19">
        <v>687.4</v>
      </c>
      <c r="J5" s="18">
        <f>SUM(K5:N5)</f>
        <v>7417</v>
      </c>
      <c r="K5" s="19">
        <v>-3927</v>
      </c>
      <c r="L5" s="19">
        <v>7968</v>
      </c>
      <c r="M5" s="19">
        <v>8086</v>
      </c>
      <c r="N5" s="19">
        <v>-4710</v>
      </c>
      <c r="O5" s="20">
        <f>SUM(P5:S5)</f>
        <v>-4692</v>
      </c>
      <c r="P5" s="19">
        <v>-313</v>
      </c>
      <c r="Q5" s="19">
        <v>-4732</v>
      </c>
      <c r="R5" s="19">
        <v>2506</v>
      </c>
      <c r="S5" s="19">
        <v>-2153</v>
      </c>
      <c r="T5" s="20">
        <f>SUM(U5:X5)</f>
        <v>-9858</v>
      </c>
      <c r="U5" s="19">
        <v>-7307</v>
      </c>
      <c r="V5" s="19">
        <v>-1418</v>
      </c>
      <c r="W5" s="19">
        <v>2369</v>
      </c>
      <c r="X5" s="19">
        <v>-3502</v>
      </c>
      <c r="Y5" s="20">
        <f>SUM(Z5:AC5)</f>
        <v>-14752</v>
      </c>
      <c r="Z5" s="19">
        <v>-4341</v>
      </c>
      <c r="AA5" s="19">
        <v>-3274</v>
      </c>
      <c r="AB5" s="19">
        <v>-1670</v>
      </c>
      <c r="AC5" s="19">
        <v>-5467</v>
      </c>
      <c r="AD5" s="20">
        <f>SUM(AE5:AH5)</f>
        <v>-3278</v>
      </c>
      <c r="AE5" s="19">
        <v>-3278</v>
      </c>
      <c r="AF5" s="19"/>
      <c r="AG5" s="19"/>
      <c r="AH5" s="19"/>
    </row>
    <row r="6" spans="1:34" s="64" customFormat="1">
      <c r="A6" s="64" t="s">
        <v>72</v>
      </c>
      <c r="B6" s="65">
        <f>B4+B5</f>
        <v>55137</v>
      </c>
      <c r="C6" s="65">
        <f t="shared" ref="C6:S6" si="0">C4+C5</f>
        <v>84396</v>
      </c>
      <c r="D6" s="65">
        <f t="shared" si="0"/>
        <v>81412</v>
      </c>
      <c r="E6" s="65">
        <f t="shared" si="0"/>
        <v>86187</v>
      </c>
      <c r="F6" s="66">
        <f t="shared" si="0"/>
        <v>18222</v>
      </c>
      <c r="G6" s="66">
        <f t="shared" si="0"/>
        <v>21748</v>
      </c>
      <c r="H6" s="66">
        <f t="shared" si="0"/>
        <v>22730</v>
      </c>
      <c r="I6" s="66">
        <f t="shared" si="0"/>
        <v>23488.800000000003</v>
      </c>
      <c r="J6" s="65">
        <f t="shared" si="0"/>
        <v>98056</v>
      </c>
      <c r="K6" s="66">
        <f t="shared" si="0"/>
        <v>16289</v>
      </c>
      <c r="L6" s="66">
        <f t="shared" si="0"/>
        <v>30291</v>
      </c>
      <c r="M6" s="66">
        <f t="shared" si="0"/>
        <v>30263</v>
      </c>
      <c r="N6" s="66">
        <f t="shared" si="0"/>
        <v>21213</v>
      </c>
      <c r="O6" s="65">
        <f t="shared" si="0"/>
        <v>83559</v>
      </c>
      <c r="P6" s="66">
        <f t="shared" si="0"/>
        <v>20536</v>
      </c>
      <c r="Q6" s="66">
        <f t="shared" si="0"/>
        <v>20035</v>
      </c>
      <c r="R6" s="66">
        <f t="shared" si="0"/>
        <v>25047</v>
      </c>
      <c r="S6" s="66">
        <f t="shared" si="0"/>
        <v>17941</v>
      </c>
      <c r="T6" s="65">
        <f t="shared" ref="T6:X6" si="1">T4+T5</f>
        <v>55714</v>
      </c>
      <c r="U6" s="66">
        <f t="shared" si="1"/>
        <v>11755</v>
      </c>
      <c r="V6" s="66">
        <f t="shared" si="1"/>
        <v>16376</v>
      </c>
      <c r="W6" s="66">
        <f t="shared" si="1"/>
        <v>17755</v>
      </c>
      <c r="X6" s="66">
        <f t="shared" si="1"/>
        <v>9828</v>
      </c>
      <c r="Y6" s="65">
        <f t="shared" ref="Y6:AC6" si="2">Y4+Y5</f>
        <v>30547</v>
      </c>
      <c r="Z6" s="66">
        <f t="shared" si="2"/>
        <v>6357</v>
      </c>
      <c r="AA6" s="66">
        <f t="shared" si="2"/>
        <v>8233</v>
      </c>
      <c r="AB6" s="66">
        <f t="shared" si="2"/>
        <v>12143</v>
      </c>
      <c r="AC6" s="66">
        <f t="shared" si="2"/>
        <v>3814</v>
      </c>
      <c r="AD6" s="65">
        <f t="shared" ref="AD6:AH6" si="3">AD4+AD5</f>
        <v>6597</v>
      </c>
      <c r="AE6" s="66">
        <f t="shared" si="3"/>
        <v>6597</v>
      </c>
      <c r="AF6" s="66">
        <f t="shared" si="3"/>
        <v>0</v>
      </c>
      <c r="AG6" s="66">
        <f t="shared" si="3"/>
        <v>0</v>
      </c>
      <c r="AH6" s="66">
        <f t="shared" si="3"/>
        <v>0</v>
      </c>
    </row>
    <row r="7" spans="1:34">
      <c r="A7" s="13" t="s">
        <v>73</v>
      </c>
      <c r="B7" s="18">
        <v>-25742</v>
      </c>
      <c r="C7" s="18">
        <v>-28279</v>
      </c>
      <c r="D7" s="18">
        <v>-27304</v>
      </c>
      <c r="E7" s="18">
        <v>-24984</v>
      </c>
      <c r="F7" s="19">
        <v>-2995</v>
      </c>
      <c r="G7" s="19">
        <v>-11532</v>
      </c>
      <c r="H7" s="19">
        <v>-5331</v>
      </c>
      <c r="I7" s="19">
        <v>-5127</v>
      </c>
      <c r="J7" s="18">
        <f>SUM(K7:N7)</f>
        <v>-17313</v>
      </c>
      <c r="K7" s="19">
        <v>-5263</v>
      </c>
      <c r="L7" s="19">
        <v>-3710</v>
      </c>
      <c r="M7" s="19">
        <v>-6900</v>
      </c>
      <c r="N7" s="19">
        <v>-1440</v>
      </c>
      <c r="O7" s="20">
        <f>SUM(P7:S7)</f>
        <v>-19815</v>
      </c>
      <c r="P7" s="19">
        <v>-2548</v>
      </c>
      <c r="Q7" s="19">
        <v>-3822</v>
      </c>
      <c r="R7" s="19">
        <v>-7160</v>
      </c>
      <c r="S7" s="19">
        <v>-6285</v>
      </c>
      <c r="T7" s="20">
        <f>SUM(U7:X7)</f>
        <v>-23314</v>
      </c>
      <c r="U7" s="19">
        <v>-8566</v>
      </c>
      <c r="V7" s="19">
        <v>-5155</v>
      </c>
      <c r="W7" s="19">
        <v>-5586</v>
      </c>
      <c r="X7" s="19">
        <v>-4007</v>
      </c>
      <c r="Y7" s="20">
        <f>SUM(Z7:AC7)</f>
        <v>-43840.43</v>
      </c>
      <c r="Z7" s="19">
        <v>-19851</v>
      </c>
      <c r="AA7" s="19">
        <v>-3699.4300000000003</v>
      </c>
      <c r="AB7" s="19">
        <v>-4175</v>
      </c>
      <c r="AC7" s="19">
        <v>-16115</v>
      </c>
      <c r="AD7" s="20">
        <f>SUM(AE7:AH7)</f>
        <v>-4849</v>
      </c>
      <c r="AE7" s="19">
        <v>-4849</v>
      </c>
      <c r="AF7" s="19"/>
      <c r="AG7" s="19"/>
      <c r="AH7" s="19"/>
    </row>
    <row r="8" spans="1:34" s="44" customFormat="1">
      <c r="A8" s="44" t="s">
        <v>27</v>
      </c>
      <c r="B8" s="35">
        <v>29395</v>
      </c>
      <c r="C8" s="35">
        <v>56117</v>
      </c>
      <c r="D8" s="35">
        <v>54108</v>
      </c>
      <c r="E8" s="35">
        <f>E6+E7</f>
        <v>61203</v>
      </c>
      <c r="F8" s="47">
        <f t="shared" ref="F8:I8" si="4">F6+F7</f>
        <v>15227</v>
      </c>
      <c r="G8" s="47">
        <f t="shared" si="4"/>
        <v>10216</v>
      </c>
      <c r="H8" s="47">
        <f t="shared" si="4"/>
        <v>17399</v>
      </c>
      <c r="I8" s="47">
        <f t="shared" si="4"/>
        <v>18361.800000000003</v>
      </c>
      <c r="J8" s="35">
        <f>J6+J7</f>
        <v>80743</v>
      </c>
      <c r="K8" s="47">
        <f t="shared" ref="K8:S8" si="5">K6+K7</f>
        <v>11026</v>
      </c>
      <c r="L8" s="47">
        <f t="shared" si="5"/>
        <v>26581</v>
      </c>
      <c r="M8" s="47">
        <f t="shared" si="5"/>
        <v>23363</v>
      </c>
      <c r="N8" s="47">
        <f t="shared" si="5"/>
        <v>19773</v>
      </c>
      <c r="O8" s="35">
        <f t="shared" si="5"/>
        <v>63744</v>
      </c>
      <c r="P8" s="47">
        <f t="shared" si="5"/>
        <v>17988</v>
      </c>
      <c r="Q8" s="47">
        <f t="shared" si="5"/>
        <v>16213</v>
      </c>
      <c r="R8" s="47">
        <f t="shared" si="5"/>
        <v>17887</v>
      </c>
      <c r="S8" s="47">
        <f t="shared" si="5"/>
        <v>11656</v>
      </c>
      <c r="T8" s="35">
        <f t="shared" ref="T8:X8" si="6">T6+T7</f>
        <v>32400</v>
      </c>
      <c r="U8" s="47">
        <f t="shared" si="6"/>
        <v>3189</v>
      </c>
      <c r="V8" s="47">
        <f t="shared" si="6"/>
        <v>11221</v>
      </c>
      <c r="W8" s="47">
        <f t="shared" si="6"/>
        <v>12169</v>
      </c>
      <c r="X8" s="47">
        <f t="shared" si="6"/>
        <v>5821</v>
      </c>
      <c r="Y8" s="35">
        <f t="shared" ref="Y8:AC8" si="7">Y6+Y7</f>
        <v>-13293.43</v>
      </c>
      <c r="Z8" s="47">
        <f t="shared" si="7"/>
        <v>-13494</v>
      </c>
      <c r="AA8" s="47">
        <f t="shared" si="7"/>
        <v>4533.57</v>
      </c>
      <c r="AB8" s="47">
        <f t="shared" si="7"/>
        <v>7968</v>
      </c>
      <c r="AC8" s="47">
        <f t="shared" si="7"/>
        <v>-12301</v>
      </c>
      <c r="AD8" s="35">
        <f t="shared" ref="AD8:AH8" si="8">AD6+AD7</f>
        <v>1748</v>
      </c>
      <c r="AE8" s="47">
        <f t="shared" si="8"/>
        <v>1748</v>
      </c>
      <c r="AF8" s="47">
        <f t="shared" si="8"/>
        <v>0</v>
      </c>
      <c r="AG8" s="47">
        <f t="shared" si="8"/>
        <v>0</v>
      </c>
      <c r="AH8" s="47">
        <f t="shared" si="8"/>
        <v>0</v>
      </c>
    </row>
    <row r="9" spans="1:34">
      <c r="A9" s="13" t="s">
        <v>74</v>
      </c>
      <c r="B9" s="18"/>
      <c r="C9" s="18"/>
      <c r="D9" s="18">
        <v>0</v>
      </c>
      <c r="E9" s="18"/>
      <c r="F9" s="19"/>
      <c r="G9" s="19"/>
      <c r="H9" s="19"/>
      <c r="I9" s="19"/>
      <c r="J9" s="18"/>
      <c r="L9" s="19"/>
      <c r="M9" s="19"/>
      <c r="N9" s="19"/>
      <c r="P9" s="19"/>
      <c r="Q9" s="45"/>
      <c r="R9" s="45"/>
      <c r="S9" s="45"/>
      <c r="U9" s="19"/>
      <c r="V9" s="45"/>
      <c r="W9" s="45"/>
      <c r="X9" s="45"/>
      <c r="Z9" s="19"/>
      <c r="AA9" s="45"/>
      <c r="AB9" s="45"/>
      <c r="AC9" s="45"/>
      <c r="AE9" s="19"/>
      <c r="AF9" s="45"/>
      <c r="AG9" s="45"/>
      <c r="AH9" s="45"/>
    </row>
    <row r="10" spans="1:34" s="64" customFormat="1">
      <c r="A10" s="64" t="s">
        <v>75</v>
      </c>
      <c r="B10" s="65">
        <v>-25742</v>
      </c>
      <c r="C10" s="65">
        <v>-28279</v>
      </c>
      <c r="D10" s="65">
        <v>-27305</v>
      </c>
      <c r="E10" s="65">
        <v>-24984</v>
      </c>
      <c r="F10" s="66">
        <f>F7</f>
        <v>-2995</v>
      </c>
      <c r="G10" s="66">
        <f>G7</f>
        <v>-11532</v>
      </c>
      <c r="H10" s="66">
        <f t="shared" ref="H10:S10" si="9">H7</f>
        <v>-5331</v>
      </c>
      <c r="I10" s="66">
        <f t="shared" si="9"/>
        <v>-5127</v>
      </c>
      <c r="J10" s="65">
        <f t="shared" si="9"/>
        <v>-17313</v>
      </c>
      <c r="K10" s="66">
        <f t="shared" si="9"/>
        <v>-5263</v>
      </c>
      <c r="L10" s="66">
        <f t="shared" si="9"/>
        <v>-3710</v>
      </c>
      <c r="M10" s="66">
        <f t="shared" si="9"/>
        <v>-6900</v>
      </c>
      <c r="N10" s="66">
        <f t="shared" si="9"/>
        <v>-1440</v>
      </c>
      <c r="O10" s="65">
        <f t="shared" si="9"/>
        <v>-19815</v>
      </c>
      <c r="P10" s="66">
        <f t="shared" si="9"/>
        <v>-2548</v>
      </c>
      <c r="Q10" s="66">
        <f t="shared" si="9"/>
        <v>-3822</v>
      </c>
      <c r="R10" s="66">
        <f t="shared" si="9"/>
        <v>-7160</v>
      </c>
      <c r="S10" s="66">
        <f t="shared" si="9"/>
        <v>-6285</v>
      </c>
      <c r="T10" s="65">
        <f t="shared" ref="T10:X10" si="10">T7</f>
        <v>-23314</v>
      </c>
      <c r="U10" s="66">
        <f t="shared" si="10"/>
        <v>-8566</v>
      </c>
      <c r="V10" s="66">
        <f t="shared" si="10"/>
        <v>-5155</v>
      </c>
      <c r="W10" s="66">
        <f t="shared" si="10"/>
        <v>-5586</v>
      </c>
      <c r="X10" s="66">
        <f t="shared" si="10"/>
        <v>-4007</v>
      </c>
      <c r="Y10" s="65">
        <f t="shared" ref="Y10:AC10" si="11">Y7</f>
        <v>-43840.43</v>
      </c>
      <c r="Z10" s="66">
        <f t="shared" si="11"/>
        <v>-19851</v>
      </c>
      <c r="AA10" s="66">
        <f t="shared" si="11"/>
        <v>-3699.4300000000003</v>
      </c>
      <c r="AB10" s="66">
        <f t="shared" si="11"/>
        <v>-4175</v>
      </c>
      <c r="AC10" s="66">
        <f t="shared" si="11"/>
        <v>-16115</v>
      </c>
      <c r="AD10" s="65">
        <f t="shared" ref="AD10:AH10" si="12">AD7</f>
        <v>-4849</v>
      </c>
      <c r="AE10" s="66">
        <f t="shared" si="12"/>
        <v>-4849</v>
      </c>
      <c r="AF10" s="66">
        <f t="shared" si="12"/>
        <v>0</v>
      </c>
      <c r="AG10" s="66">
        <f t="shared" si="12"/>
        <v>0</v>
      </c>
      <c r="AH10" s="66">
        <f t="shared" si="12"/>
        <v>0</v>
      </c>
    </row>
    <row r="11" spans="1:34">
      <c r="A11" s="13" t="s">
        <v>76</v>
      </c>
      <c r="B11" s="18">
        <v>29395</v>
      </c>
      <c r="C11" s="18">
        <v>56117</v>
      </c>
      <c r="D11" s="18">
        <v>54108</v>
      </c>
      <c r="E11" s="18">
        <f>E8</f>
        <v>61203</v>
      </c>
      <c r="F11" s="19">
        <f t="shared" ref="F11:S11" si="13">F8</f>
        <v>15227</v>
      </c>
      <c r="G11" s="19">
        <f t="shared" si="13"/>
        <v>10216</v>
      </c>
      <c r="H11" s="19">
        <f t="shared" si="13"/>
        <v>17399</v>
      </c>
      <c r="I11" s="19">
        <f t="shared" si="13"/>
        <v>18361.800000000003</v>
      </c>
      <c r="J11" s="18">
        <f t="shared" si="13"/>
        <v>80743</v>
      </c>
      <c r="K11" s="19">
        <f t="shared" si="13"/>
        <v>11026</v>
      </c>
      <c r="L11" s="19">
        <f t="shared" si="13"/>
        <v>26581</v>
      </c>
      <c r="M11" s="19">
        <f t="shared" si="13"/>
        <v>23363</v>
      </c>
      <c r="N11" s="19">
        <f t="shared" si="13"/>
        <v>19773</v>
      </c>
      <c r="O11" s="18">
        <f t="shared" si="13"/>
        <v>63744</v>
      </c>
      <c r="P11" s="19">
        <f t="shared" si="13"/>
        <v>17988</v>
      </c>
      <c r="Q11" s="19">
        <f t="shared" si="13"/>
        <v>16213</v>
      </c>
      <c r="R11" s="19">
        <f t="shared" si="13"/>
        <v>17887</v>
      </c>
      <c r="S11" s="19">
        <f t="shared" si="13"/>
        <v>11656</v>
      </c>
      <c r="T11" s="18">
        <f t="shared" ref="T11:X11" si="14">T8</f>
        <v>32400</v>
      </c>
      <c r="U11" s="19">
        <f t="shared" si="14"/>
        <v>3189</v>
      </c>
      <c r="V11" s="19">
        <f t="shared" si="14"/>
        <v>11221</v>
      </c>
      <c r="W11" s="19">
        <f t="shared" si="14"/>
        <v>12169</v>
      </c>
      <c r="X11" s="19">
        <f t="shared" si="14"/>
        <v>5821</v>
      </c>
      <c r="Y11" s="18">
        <f t="shared" ref="Y11:AC11" si="15">Y8</f>
        <v>-13293.43</v>
      </c>
      <c r="Z11" s="19">
        <f t="shared" si="15"/>
        <v>-13494</v>
      </c>
      <c r="AA11" s="19">
        <f t="shared" si="15"/>
        <v>4533.57</v>
      </c>
      <c r="AB11" s="19">
        <f t="shared" si="15"/>
        <v>7968</v>
      </c>
      <c r="AC11" s="19">
        <f t="shared" si="15"/>
        <v>-12301</v>
      </c>
      <c r="AD11" s="18">
        <f t="shared" ref="AD11:AH11" si="16">AD8</f>
        <v>1748</v>
      </c>
      <c r="AE11" s="19">
        <f t="shared" si="16"/>
        <v>1748</v>
      </c>
      <c r="AF11" s="19">
        <f t="shared" si="16"/>
        <v>0</v>
      </c>
      <c r="AG11" s="19">
        <f t="shared" si="16"/>
        <v>0</v>
      </c>
      <c r="AH11" s="19">
        <f t="shared" si="16"/>
        <v>0</v>
      </c>
    </row>
    <row r="12" spans="1:34" s="65" customFormat="1">
      <c r="A12" s="65" t="s">
        <v>77</v>
      </c>
      <c r="B12" s="65">
        <v>-29570</v>
      </c>
      <c r="C12" s="65">
        <v>-52406</v>
      </c>
      <c r="D12" s="65">
        <v>-58000</v>
      </c>
      <c r="E12" s="65">
        <v>-59481</v>
      </c>
      <c r="F12" s="66">
        <v>-12216</v>
      </c>
      <c r="G12" s="66">
        <v>-13717</v>
      </c>
      <c r="H12" s="66">
        <v>-17185</v>
      </c>
      <c r="I12" s="66">
        <v>-16364</v>
      </c>
      <c r="J12" s="18">
        <f>SUM(K12:N12)</f>
        <v>-64902</v>
      </c>
      <c r="K12" s="66">
        <v>-11950</v>
      </c>
      <c r="L12" s="66">
        <v>-26652</v>
      </c>
      <c r="M12" s="66">
        <v>-20250</v>
      </c>
      <c r="N12" s="66">
        <v>-6050</v>
      </c>
      <c r="O12" s="20">
        <f>SUM(P12:S12)</f>
        <v>-63140</v>
      </c>
      <c r="P12" s="66">
        <v>-950</v>
      </c>
      <c r="Q12" s="66">
        <v>-47362</v>
      </c>
      <c r="R12" s="66">
        <v>-3800</v>
      </c>
      <c r="S12" s="66">
        <v>-11028</v>
      </c>
      <c r="T12" s="20">
        <f>SUM(U12:X12)</f>
        <v>-33260</v>
      </c>
      <c r="U12" s="66">
        <v>0</v>
      </c>
      <c r="V12" s="66">
        <v>-18782</v>
      </c>
      <c r="W12" s="66">
        <v>3300</v>
      </c>
      <c r="X12" s="66">
        <v>-17778</v>
      </c>
      <c r="Y12" s="20">
        <f>SUM(Z12:AC12)</f>
        <v>-10501</v>
      </c>
      <c r="Z12" s="66">
        <v>0</v>
      </c>
      <c r="AA12" s="66">
        <v>3815</v>
      </c>
      <c r="AB12" s="66">
        <v>-14316</v>
      </c>
      <c r="AC12" s="66">
        <v>0</v>
      </c>
      <c r="AD12" s="20">
        <f>SUM(AE12:AH12)</f>
        <v>0</v>
      </c>
      <c r="AE12" s="66">
        <v>0</v>
      </c>
      <c r="AF12" s="66"/>
      <c r="AG12" s="66"/>
      <c r="AH12" s="66">
        <v>0</v>
      </c>
    </row>
    <row r="13" spans="1:34" s="44" customFormat="1">
      <c r="A13" s="44" t="s">
        <v>78</v>
      </c>
      <c r="B13" s="35">
        <v>-175</v>
      </c>
      <c r="C13" s="35">
        <v>3711</v>
      </c>
      <c r="D13" s="35">
        <v>-3892</v>
      </c>
      <c r="E13" s="35">
        <f>E11+E12</f>
        <v>1722</v>
      </c>
      <c r="F13" s="47">
        <f t="shared" ref="F13:H13" si="17">F11+F12</f>
        <v>3011</v>
      </c>
      <c r="G13" s="47">
        <f t="shared" si="17"/>
        <v>-3501</v>
      </c>
      <c r="H13" s="47">
        <f t="shared" si="17"/>
        <v>214</v>
      </c>
      <c r="I13" s="47">
        <f t="shared" ref="I13" si="18">I11+I12</f>
        <v>1997.8000000000029</v>
      </c>
      <c r="J13" s="35">
        <f t="shared" ref="J13:K13" si="19">J11+J12</f>
        <v>15841</v>
      </c>
      <c r="K13" s="47">
        <f t="shared" si="19"/>
        <v>-924</v>
      </c>
      <c r="L13" s="47">
        <f t="shared" ref="L13" si="20">L11+L12</f>
        <v>-71</v>
      </c>
      <c r="M13" s="47">
        <f t="shared" ref="M13" si="21">M11+M12</f>
        <v>3113</v>
      </c>
      <c r="N13" s="47">
        <f t="shared" ref="N13" si="22">N11+N12</f>
        <v>13723</v>
      </c>
      <c r="O13" s="35">
        <f t="shared" ref="O13" si="23">O11+O12</f>
        <v>604</v>
      </c>
      <c r="P13" s="47">
        <f t="shared" ref="P13" si="24">P11+P12</f>
        <v>17038</v>
      </c>
      <c r="Q13" s="47">
        <f t="shared" ref="Q13" si="25">Q11+Q12</f>
        <v>-31149</v>
      </c>
      <c r="R13" s="47">
        <f t="shared" ref="R13" si="26">R11+R12</f>
        <v>14087</v>
      </c>
      <c r="S13" s="47">
        <f t="shared" ref="S13:W13" si="27">S11+S12</f>
        <v>628</v>
      </c>
      <c r="T13" s="35">
        <f t="shared" si="27"/>
        <v>-860</v>
      </c>
      <c r="U13" s="47">
        <f t="shared" si="27"/>
        <v>3189</v>
      </c>
      <c r="V13" s="47">
        <f t="shared" si="27"/>
        <v>-7561</v>
      </c>
      <c r="W13" s="47">
        <f t="shared" si="27"/>
        <v>15469</v>
      </c>
      <c r="X13" s="47">
        <f t="shared" ref="X13:AB13" si="28">X11+X12</f>
        <v>-11957</v>
      </c>
      <c r="Y13" s="35">
        <f t="shared" si="28"/>
        <v>-23794.43</v>
      </c>
      <c r="Z13" s="47">
        <f t="shared" si="28"/>
        <v>-13494</v>
      </c>
      <c r="AA13" s="47">
        <f t="shared" si="28"/>
        <v>8348.57</v>
      </c>
      <c r="AB13" s="47">
        <f t="shared" si="28"/>
        <v>-6348</v>
      </c>
      <c r="AC13" s="47">
        <f t="shared" ref="AC13:AE13" si="29">AC11+AC12</f>
        <v>-12301</v>
      </c>
      <c r="AD13" s="35">
        <f t="shared" si="29"/>
        <v>1748</v>
      </c>
      <c r="AE13" s="47">
        <f t="shared" si="29"/>
        <v>1748</v>
      </c>
      <c r="AF13" s="47"/>
      <c r="AG13" s="47"/>
      <c r="AH13" s="47">
        <f t="shared" ref="AH13" si="30">AH11+AH12</f>
        <v>0</v>
      </c>
    </row>
    <row r="14" spans="1:34" ht="6.75" customHeight="1">
      <c r="B14" s="18"/>
      <c r="C14" s="18"/>
      <c r="D14" s="18"/>
      <c r="E14" s="18"/>
      <c r="F14" s="19"/>
      <c r="G14" s="19"/>
      <c r="H14" s="19"/>
      <c r="I14" s="19"/>
      <c r="J14" s="18"/>
      <c r="L14" s="19"/>
      <c r="M14" s="19"/>
      <c r="N14" s="19"/>
      <c r="P14" s="19"/>
      <c r="Q14" s="45"/>
      <c r="R14" s="45"/>
      <c r="S14" s="45"/>
      <c r="U14" s="19"/>
      <c r="V14" s="45"/>
      <c r="W14" s="45"/>
      <c r="X14" s="45"/>
      <c r="Z14" s="19"/>
      <c r="AA14" s="45"/>
      <c r="AB14" s="45"/>
      <c r="AC14" s="45"/>
      <c r="AE14" s="19"/>
      <c r="AF14" s="45"/>
      <c r="AG14" s="45"/>
      <c r="AH14" s="45"/>
    </row>
    <row r="15" spans="1:34">
      <c r="A15" s="13" t="s">
        <v>79</v>
      </c>
      <c r="B15" s="18">
        <v>1709</v>
      </c>
      <c r="C15" s="18">
        <f>B19</f>
        <v>1534</v>
      </c>
      <c r="D15" s="18">
        <f>C19</f>
        <v>5245</v>
      </c>
      <c r="E15" s="18">
        <v>1352.8689999999997</v>
      </c>
      <c r="F15" s="19">
        <f>E15</f>
        <v>1352.8689999999997</v>
      </c>
      <c r="G15" s="19">
        <f>F19</f>
        <v>4363.8689999999997</v>
      </c>
      <c r="H15" s="19">
        <f>G19</f>
        <v>862.86899999999969</v>
      </c>
      <c r="I15" s="19">
        <f>H19</f>
        <v>1076.8689999999997</v>
      </c>
      <c r="J15" s="18">
        <f>E19</f>
        <v>3074.8689999999997</v>
      </c>
      <c r="K15" s="21">
        <f>J15</f>
        <v>3074.8689999999997</v>
      </c>
      <c r="L15" s="19">
        <f>K19</f>
        <v>2150.8689999999997</v>
      </c>
      <c r="M15" s="19">
        <f>L19</f>
        <v>2079.8689999999997</v>
      </c>
      <c r="N15" s="19">
        <f>M19</f>
        <v>5192.8689999999997</v>
      </c>
      <c r="O15" s="20">
        <f>N19</f>
        <v>18915.868999999999</v>
      </c>
      <c r="P15" s="19">
        <f>N19</f>
        <v>18915.868999999999</v>
      </c>
      <c r="Q15" s="21">
        <f>P19</f>
        <v>35953.868999999999</v>
      </c>
      <c r="R15" s="21">
        <f>Q19</f>
        <v>4804.8689999999988</v>
      </c>
      <c r="S15" s="21">
        <f>R19</f>
        <v>18891.868999999999</v>
      </c>
      <c r="T15" s="20">
        <f>S19</f>
        <v>19519.868999999999</v>
      </c>
      <c r="U15" s="19">
        <f>S19</f>
        <v>19519.868999999999</v>
      </c>
      <c r="V15" s="21">
        <f>U19</f>
        <v>22971.868999999999</v>
      </c>
      <c r="W15" s="21">
        <f>V19</f>
        <v>15451.868999999999</v>
      </c>
      <c r="X15" s="21">
        <f>W19</f>
        <v>38957.868999999999</v>
      </c>
      <c r="Y15" s="20">
        <f>X19</f>
        <v>31588.868999999999</v>
      </c>
      <c r="Z15" s="19">
        <f>X19</f>
        <v>31588.868999999999</v>
      </c>
      <c r="AA15" s="21">
        <f>Z19</f>
        <v>19141.868999999999</v>
      </c>
      <c r="AB15" s="21">
        <f>AA19</f>
        <v>27203.438999999998</v>
      </c>
      <c r="AC15" s="21">
        <f>AB19</f>
        <v>20747.438999999998</v>
      </c>
      <c r="AD15" s="20">
        <f>AC19</f>
        <v>8477.4389999999985</v>
      </c>
      <c r="AE15" s="19">
        <f>AC19</f>
        <v>8477.4389999999985</v>
      </c>
      <c r="AF15" s="21"/>
      <c r="AG15" s="21"/>
      <c r="AH15" s="21"/>
    </row>
    <row r="16" spans="1:34">
      <c r="A16" s="13" t="s">
        <v>80</v>
      </c>
      <c r="B16" s="18"/>
      <c r="C16" s="18"/>
      <c r="D16" s="18">
        <v>0</v>
      </c>
      <c r="E16" s="18"/>
      <c r="F16" s="19"/>
      <c r="G16" s="19"/>
      <c r="H16" s="19"/>
      <c r="I16" s="19"/>
      <c r="J16" s="18"/>
      <c r="L16" s="19"/>
      <c r="M16" s="19"/>
      <c r="N16" s="19"/>
      <c r="P16" s="19"/>
      <c r="Q16" s="45"/>
      <c r="R16" s="45"/>
      <c r="S16" s="45"/>
      <c r="U16" s="19"/>
      <c r="V16" s="45"/>
      <c r="W16" s="45"/>
      <c r="X16" s="45"/>
      <c r="Z16" s="19"/>
      <c r="AA16" s="45"/>
      <c r="AB16" s="45"/>
      <c r="AC16" s="45"/>
      <c r="AE16" s="19"/>
      <c r="AF16" s="45"/>
      <c r="AG16" s="45"/>
      <c r="AH16" s="45"/>
    </row>
    <row r="17" spans="1:34">
      <c r="A17" s="13" t="s">
        <v>78</v>
      </c>
      <c r="B17" s="18">
        <v>-175</v>
      </c>
      <c r="C17" s="18">
        <v>3711</v>
      </c>
      <c r="D17" s="18">
        <v>-3892</v>
      </c>
      <c r="E17" s="18">
        <f>E13</f>
        <v>1722</v>
      </c>
      <c r="F17" s="19">
        <f t="shared" ref="F17:S17" si="31">F13</f>
        <v>3011</v>
      </c>
      <c r="G17" s="19">
        <f t="shared" si="31"/>
        <v>-3501</v>
      </c>
      <c r="H17" s="19">
        <f t="shared" si="31"/>
        <v>214</v>
      </c>
      <c r="I17" s="19">
        <f t="shared" si="31"/>
        <v>1997.8000000000029</v>
      </c>
      <c r="J17" s="18">
        <f t="shared" si="31"/>
        <v>15841</v>
      </c>
      <c r="K17" s="19">
        <f t="shared" si="31"/>
        <v>-924</v>
      </c>
      <c r="L17" s="19">
        <f t="shared" si="31"/>
        <v>-71</v>
      </c>
      <c r="M17" s="19">
        <f t="shared" si="31"/>
        <v>3113</v>
      </c>
      <c r="N17" s="19">
        <f t="shared" si="31"/>
        <v>13723</v>
      </c>
      <c r="O17" s="18">
        <f t="shared" si="31"/>
        <v>604</v>
      </c>
      <c r="P17" s="19">
        <f t="shared" si="31"/>
        <v>17038</v>
      </c>
      <c r="Q17" s="19">
        <f t="shared" si="31"/>
        <v>-31149</v>
      </c>
      <c r="R17" s="19">
        <f t="shared" si="31"/>
        <v>14087</v>
      </c>
      <c r="S17" s="19">
        <f t="shared" si="31"/>
        <v>628</v>
      </c>
      <c r="T17" s="18">
        <f t="shared" ref="T17:X17" si="32">T13</f>
        <v>-860</v>
      </c>
      <c r="U17" s="19">
        <f t="shared" si="32"/>
        <v>3189</v>
      </c>
      <c r="V17" s="19">
        <f t="shared" si="32"/>
        <v>-7561</v>
      </c>
      <c r="W17" s="19">
        <f t="shared" si="32"/>
        <v>15469</v>
      </c>
      <c r="X17" s="19">
        <f t="shared" si="32"/>
        <v>-11957</v>
      </c>
      <c r="Y17" s="18">
        <f t="shared" ref="Y17:AC17" si="33">Y13</f>
        <v>-23794.43</v>
      </c>
      <c r="Z17" s="19">
        <f t="shared" si="33"/>
        <v>-13494</v>
      </c>
      <c r="AA17" s="19">
        <f t="shared" si="33"/>
        <v>8348.57</v>
      </c>
      <c r="AB17" s="19">
        <f t="shared" si="33"/>
        <v>-6348</v>
      </c>
      <c r="AC17" s="19">
        <f t="shared" si="33"/>
        <v>-12301</v>
      </c>
      <c r="AD17" s="18">
        <f t="shared" ref="AD17:AH17" si="34">AD13</f>
        <v>1748</v>
      </c>
      <c r="AE17" s="19">
        <f t="shared" si="34"/>
        <v>1748</v>
      </c>
      <c r="AF17" s="19">
        <f t="shared" si="34"/>
        <v>0</v>
      </c>
      <c r="AG17" s="19">
        <f t="shared" si="34"/>
        <v>0</v>
      </c>
      <c r="AH17" s="19">
        <f t="shared" si="34"/>
        <v>0</v>
      </c>
    </row>
    <row r="18" spans="1:34">
      <c r="A18" s="13" t="s">
        <v>81</v>
      </c>
      <c r="B18" s="18"/>
      <c r="C18" s="18"/>
      <c r="D18" s="18">
        <v>0</v>
      </c>
      <c r="E18" s="18"/>
      <c r="F18" s="19"/>
      <c r="G18" s="19"/>
      <c r="H18" s="19"/>
      <c r="I18" s="19"/>
      <c r="J18" s="18"/>
      <c r="L18" s="19"/>
      <c r="M18" s="19"/>
      <c r="N18" s="19"/>
      <c r="P18" s="19"/>
      <c r="Q18" s="45"/>
      <c r="R18" s="45"/>
      <c r="S18" s="45"/>
      <c r="T18" s="20">
        <f>SUM(U18:X18)</f>
        <v>12929</v>
      </c>
      <c r="U18" s="19">
        <v>263</v>
      </c>
      <c r="V18" s="45">
        <v>41</v>
      </c>
      <c r="W18" s="19">
        <v>8037</v>
      </c>
      <c r="X18" s="19">
        <v>4588</v>
      </c>
      <c r="Y18" s="20">
        <f>SUM(Z18:AC18)</f>
        <v>683</v>
      </c>
      <c r="Z18" s="19">
        <v>1047</v>
      </c>
      <c r="AA18" s="45">
        <v>-287</v>
      </c>
      <c r="AB18" s="19">
        <v>-108</v>
      </c>
      <c r="AC18" s="19">
        <v>31</v>
      </c>
      <c r="AD18" s="20">
        <f>SUM(AE18:AH18)</f>
        <v>-181</v>
      </c>
      <c r="AE18" s="19">
        <v>-181</v>
      </c>
      <c r="AF18" s="45"/>
      <c r="AG18" s="19"/>
      <c r="AH18" s="19"/>
    </row>
    <row r="19" spans="1:34" s="44" customFormat="1">
      <c r="A19" s="44" t="s">
        <v>82</v>
      </c>
      <c r="B19" s="35">
        <v>1534</v>
      </c>
      <c r="C19" s="35">
        <v>5245</v>
      </c>
      <c r="D19" s="35">
        <v>1352.8689999999997</v>
      </c>
      <c r="E19" s="35">
        <f>E15+E17</f>
        <v>3074.8689999999997</v>
      </c>
      <c r="F19" s="47">
        <f t="shared" ref="F19:I19" si="35">F15+F17</f>
        <v>4363.8689999999997</v>
      </c>
      <c r="G19" s="47">
        <f t="shared" si="35"/>
        <v>862.86899999999969</v>
      </c>
      <c r="H19" s="47">
        <f t="shared" si="35"/>
        <v>1076.8689999999997</v>
      </c>
      <c r="I19" s="47">
        <f t="shared" si="35"/>
        <v>3074.6690000000026</v>
      </c>
      <c r="J19" s="35">
        <f>J15+J17</f>
        <v>18915.868999999999</v>
      </c>
      <c r="K19" s="47">
        <f t="shared" ref="K19:S19" si="36">K15+K17</f>
        <v>2150.8689999999997</v>
      </c>
      <c r="L19" s="47">
        <f t="shared" si="36"/>
        <v>2079.8689999999997</v>
      </c>
      <c r="M19" s="47">
        <f t="shared" si="36"/>
        <v>5192.8689999999997</v>
      </c>
      <c r="N19" s="47">
        <f t="shared" si="36"/>
        <v>18915.868999999999</v>
      </c>
      <c r="O19" s="35">
        <f t="shared" si="36"/>
        <v>19519.868999999999</v>
      </c>
      <c r="P19" s="47">
        <f t="shared" si="36"/>
        <v>35953.868999999999</v>
      </c>
      <c r="Q19" s="47">
        <f t="shared" si="36"/>
        <v>4804.8689999999988</v>
      </c>
      <c r="R19" s="47">
        <f t="shared" si="36"/>
        <v>18891.868999999999</v>
      </c>
      <c r="S19" s="47">
        <f t="shared" si="36"/>
        <v>19519.868999999999</v>
      </c>
      <c r="T19" s="35">
        <f>T15+T17+T18</f>
        <v>31588.868999999999</v>
      </c>
      <c r="U19" s="47">
        <f>U15+U17+U18</f>
        <v>22971.868999999999</v>
      </c>
      <c r="V19" s="47">
        <f t="shared" ref="V19:X19" si="37">V15+V17+V18</f>
        <v>15451.868999999999</v>
      </c>
      <c r="W19" s="47">
        <f t="shared" si="37"/>
        <v>38957.868999999999</v>
      </c>
      <c r="X19" s="47">
        <f t="shared" si="37"/>
        <v>31588.868999999999</v>
      </c>
      <c r="Y19" s="35">
        <f>Y15+Y17+Y18</f>
        <v>8477.4389999999985</v>
      </c>
      <c r="Z19" s="47">
        <f>Z15+Z17+Z18</f>
        <v>19141.868999999999</v>
      </c>
      <c r="AA19" s="47">
        <f t="shared" ref="AA19:AC19" si="38">AA15+AA17+AA18</f>
        <v>27203.438999999998</v>
      </c>
      <c r="AB19" s="47">
        <f t="shared" si="38"/>
        <v>20747.438999999998</v>
      </c>
      <c r="AC19" s="47">
        <f t="shared" si="38"/>
        <v>8477.4389999999985</v>
      </c>
      <c r="AD19" s="35">
        <f>AD15+AD17+AD18</f>
        <v>10044.438999999998</v>
      </c>
      <c r="AE19" s="47">
        <f>AE15+AE17+AE18</f>
        <v>10044.438999999998</v>
      </c>
      <c r="AF19" s="47">
        <f t="shared" ref="AF19:AH19" si="39">AF15+AF17+AF18</f>
        <v>0</v>
      </c>
      <c r="AG19" s="47">
        <f t="shared" si="39"/>
        <v>0</v>
      </c>
      <c r="AH19" s="47">
        <f t="shared" si="39"/>
        <v>0</v>
      </c>
    </row>
    <row r="20" spans="1:34">
      <c r="B20" s="20">
        <f>B19-'Financial Position'!B13</f>
        <v>0</v>
      </c>
      <c r="C20" s="20">
        <f>C19-'Financial Position'!C13</f>
        <v>0</v>
      </c>
      <c r="D20" s="20">
        <f>D19-'Financial Position'!D13</f>
        <v>-0.12700000000040745</v>
      </c>
      <c r="E20" s="20">
        <f>E19-'Financial Position'!E13</f>
        <v>-0.13100000000031287</v>
      </c>
      <c r="F20" s="21"/>
      <c r="G20" s="21"/>
      <c r="H20" s="21"/>
      <c r="I20" s="21"/>
      <c r="J20" s="20">
        <f>J19-'Financial Position'!I13</f>
        <v>-0.13100000000122236</v>
      </c>
      <c r="L20" s="21"/>
      <c r="M20" s="21"/>
      <c r="N20" s="21"/>
      <c r="P20" s="20"/>
      <c r="Y20" s="20"/>
      <c r="AD20" s="20"/>
    </row>
    <row r="47" spans="1:1">
      <c r="A47" s="61"/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D21" sqref="AD21"/>
    </sheetView>
  </sheetViews>
  <sheetFormatPr defaultColWidth="8.85546875" defaultRowHeight="12.75" outlineLevelRow="1" outlineLevelCol="1"/>
  <cols>
    <col min="1" max="1" width="26.140625" style="13" customWidth="1"/>
    <col min="2" max="5" width="9.85546875" style="13" hidden="1" customWidth="1" outlineLevel="1"/>
    <col min="6" max="9" width="8.28515625" style="45" hidden="1" customWidth="1" outlineLevel="1"/>
    <col min="10" max="10" width="9.85546875" style="13" hidden="1" customWidth="1" outlineLevel="1"/>
    <col min="11" max="11" width="8.28515625" style="45" hidden="1" customWidth="1" outlineLevel="1"/>
    <col min="12" max="12" width="8.7109375" style="45" hidden="1" customWidth="1" outlineLevel="1"/>
    <col min="13" max="13" width="9" style="45" hidden="1" customWidth="1" outlineLevel="1"/>
    <col min="14" max="14" width="8.7109375" style="45" hidden="1" customWidth="1" outlineLevel="1"/>
    <col min="15" max="15" width="8.85546875" style="13" hidden="1" customWidth="1" outlineLevel="1"/>
    <col min="16" max="19" width="9.140625" style="45" hidden="1" customWidth="1" outlineLevel="1"/>
    <col min="20" max="24" width="9" style="13" hidden="1" customWidth="1" outlineLevel="1"/>
    <col min="25" max="25" width="9" style="13" bestFit="1" customWidth="1" collapsed="1"/>
    <col min="26" max="29" width="9" style="13" bestFit="1" customWidth="1"/>
    <col min="30" max="30" width="9" style="13" bestFit="1" customWidth="1" collapsed="1"/>
    <col min="31" max="34" width="9" style="13" bestFit="1" customWidth="1"/>
    <col min="35" max="16384" width="8.85546875" style="13"/>
  </cols>
  <sheetData>
    <row r="2" spans="1:34">
      <c r="A2" s="10" t="s">
        <v>83</v>
      </c>
      <c r="B2" s="11" t="s">
        <v>12</v>
      </c>
      <c r="C2" s="11" t="s">
        <v>10</v>
      </c>
      <c r="D2" s="12">
        <v>2011</v>
      </c>
      <c r="E2" s="11" t="s">
        <v>13</v>
      </c>
      <c r="F2" s="51" t="s">
        <v>13</v>
      </c>
      <c r="G2" s="51" t="s">
        <v>13</v>
      </c>
      <c r="H2" s="51" t="s">
        <v>13</v>
      </c>
      <c r="I2" s="51" t="s">
        <v>13</v>
      </c>
      <c r="J2" s="11" t="s">
        <v>94</v>
      </c>
      <c r="K2" s="51" t="s">
        <v>94</v>
      </c>
      <c r="L2" s="51" t="s">
        <v>94</v>
      </c>
      <c r="M2" s="51" t="s">
        <v>94</v>
      </c>
      <c r="N2" s="51" t="s">
        <v>94</v>
      </c>
      <c r="O2" s="11" t="s">
        <v>102</v>
      </c>
      <c r="P2" s="51" t="s">
        <v>102</v>
      </c>
      <c r="Q2" s="51" t="s">
        <v>102</v>
      </c>
      <c r="R2" s="51" t="s">
        <v>102</v>
      </c>
      <c r="S2" s="51" t="s">
        <v>102</v>
      </c>
      <c r="T2" s="11" t="s">
        <v>115</v>
      </c>
      <c r="U2" s="51" t="s">
        <v>115</v>
      </c>
      <c r="V2" s="51" t="s">
        <v>115</v>
      </c>
      <c r="W2" s="51" t="s">
        <v>115</v>
      </c>
      <c r="X2" s="51" t="s">
        <v>115</v>
      </c>
      <c r="Y2" s="11">
        <v>2016</v>
      </c>
      <c r="Z2" s="51">
        <v>2016</v>
      </c>
      <c r="AA2" s="51">
        <v>2016</v>
      </c>
      <c r="AB2" s="51">
        <v>2016</v>
      </c>
      <c r="AC2" s="51">
        <v>2016</v>
      </c>
      <c r="AD2" s="11">
        <v>2017</v>
      </c>
      <c r="AE2" s="51">
        <v>2017</v>
      </c>
      <c r="AF2" s="51">
        <v>2017</v>
      </c>
      <c r="AG2" s="51">
        <v>2017</v>
      </c>
      <c r="AH2" s="51">
        <v>2017</v>
      </c>
    </row>
    <row r="3" spans="1:34">
      <c r="A3" s="14" t="s">
        <v>48</v>
      </c>
      <c r="B3" s="15" t="s">
        <v>11</v>
      </c>
      <c r="C3" s="15" t="s">
        <v>11</v>
      </c>
      <c r="D3" s="16" t="s">
        <v>11</v>
      </c>
      <c r="E3" s="15" t="s">
        <v>11</v>
      </c>
      <c r="F3" s="52" t="s">
        <v>90</v>
      </c>
      <c r="G3" s="52" t="s">
        <v>91</v>
      </c>
      <c r="H3" s="52" t="s">
        <v>92</v>
      </c>
      <c r="I3" s="52" t="s">
        <v>93</v>
      </c>
      <c r="J3" s="15" t="s">
        <v>11</v>
      </c>
      <c r="K3" s="52" t="s">
        <v>90</v>
      </c>
      <c r="L3" s="52" t="s">
        <v>91</v>
      </c>
      <c r="M3" s="52" t="s">
        <v>92</v>
      </c>
      <c r="N3" s="52" t="s">
        <v>93</v>
      </c>
      <c r="O3" s="15" t="s">
        <v>11</v>
      </c>
      <c r="P3" s="52" t="s">
        <v>90</v>
      </c>
      <c r="Q3" s="52" t="s">
        <v>91</v>
      </c>
      <c r="R3" s="52" t="s">
        <v>92</v>
      </c>
      <c r="S3" s="52" t="s">
        <v>93</v>
      </c>
      <c r="T3" s="15" t="s">
        <v>11</v>
      </c>
      <c r="U3" s="52" t="s">
        <v>90</v>
      </c>
      <c r="V3" s="52" t="s">
        <v>91</v>
      </c>
      <c r="W3" s="52" t="s">
        <v>92</v>
      </c>
      <c r="X3" s="52" t="s">
        <v>93</v>
      </c>
      <c r="Y3" s="15" t="s">
        <v>11</v>
      </c>
      <c r="Z3" s="52" t="s">
        <v>90</v>
      </c>
      <c r="AA3" s="52" t="s">
        <v>91</v>
      </c>
      <c r="AB3" s="52" t="s">
        <v>92</v>
      </c>
      <c r="AC3" s="52" t="s">
        <v>93</v>
      </c>
      <c r="AD3" s="15" t="s">
        <v>11</v>
      </c>
      <c r="AE3" s="52" t="s">
        <v>90</v>
      </c>
      <c r="AF3" s="52" t="s">
        <v>91</v>
      </c>
      <c r="AG3" s="52" t="s">
        <v>92</v>
      </c>
      <c r="AH3" s="52" t="s">
        <v>93</v>
      </c>
    </row>
    <row r="4" spans="1:34">
      <c r="A4" s="44" t="s">
        <v>84</v>
      </c>
      <c r="D4" s="18"/>
      <c r="E4" s="18"/>
      <c r="U4" s="45"/>
      <c r="V4" s="45"/>
      <c r="W4" s="45"/>
      <c r="X4" s="45"/>
      <c r="Z4" s="45"/>
      <c r="AA4" s="45"/>
      <c r="AB4" s="45"/>
      <c r="AC4" s="45"/>
      <c r="AE4" s="45"/>
      <c r="AF4" s="45"/>
      <c r="AG4" s="45"/>
      <c r="AH4" s="45"/>
    </row>
    <row r="5" spans="1:34">
      <c r="A5" s="13" t="s">
        <v>50</v>
      </c>
      <c r="B5" s="18">
        <v>3073.5793644627456</v>
      </c>
      <c r="C5" s="18">
        <v>7315.7820290675054</v>
      </c>
      <c r="D5" s="18">
        <v>2711</v>
      </c>
      <c r="E5" s="18">
        <v>2325</v>
      </c>
      <c r="F5" s="19">
        <v>87</v>
      </c>
      <c r="G5" s="19">
        <v>824.69</v>
      </c>
      <c r="H5" s="19">
        <v>525</v>
      </c>
      <c r="I5" s="19">
        <v>146</v>
      </c>
      <c r="J5" s="18">
        <f>SUM(K5:N5)</f>
        <v>1517</v>
      </c>
      <c r="K5" s="19">
        <v>312</v>
      </c>
      <c r="L5" s="19">
        <v>178</v>
      </c>
      <c r="M5" s="19">
        <v>405</v>
      </c>
      <c r="N5" s="19">
        <v>622</v>
      </c>
      <c r="O5" s="18">
        <f>SUM(P5:S5)</f>
        <v>1832</v>
      </c>
      <c r="P5" s="19">
        <v>0</v>
      </c>
      <c r="Q5" s="45">
        <v>525</v>
      </c>
      <c r="R5" s="45">
        <v>598</v>
      </c>
      <c r="S5" s="45">
        <v>709</v>
      </c>
      <c r="T5" s="18">
        <f>SUM(U5:X5)</f>
        <v>7329</v>
      </c>
      <c r="U5" s="19">
        <v>333</v>
      </c>
      <c r="V5" s="19">
        <v>2484</v>
      </c>
      <c r="W5" s="19">
        <v>1770</v>
      </c>
      <c r="X5" s="45">
        <v>2742</v>
      </c>
      <c r="Y5" s="18">
        <f>SUM(Z5:AC5)</f>
        <v>32923</v>
      </c>
      <c r="Z5" s="19">
        <v>26230</v>
      </c>
      <c r="AA5" s="19">
        <v>552</v>
      </c>
      <c r="AB5" s="19">
        <v>2837</v>
      </c>
      <c r="AC5" s="45">
        <v>3304</v>
      </c>
      <c r="AD5" s="18">
        <f>SUM(AE5:AH5)</f>
        <v>206</v>
      </c>
      <c r="AE5" s="19">
        <v>206</v>
      </c>
      <c r="AF5" s="19"/>
      <c r="AG5" s="19"/>
      <c r="AH5" s="45"/>
    </row>
    <row r="6" spans="1:34">
      <c r="A6" s="13" t="s">
        <v>51</v>
      </c>
      <c r="B6" s="18">
        <v>21574.420635537255</v>
      </c>
      <c r="C6" s="18">
        <v>21259.217970932492</v>
      </c>
      <c r="D6" s="18">
        <v>24090</v>
      </c>
      <c r="E6" s="18">
        <v>24405</v>
      </c>
      <c r="F6" s="19">
        <v>2676</v>
      </c>
      <c r="G6" s="19">
        <v>11256</v>
      </c>
      <c r="H6" s="19">
        <v>4356</v>
      </c>
      <c r="I6" s="19">
        <v>6859</v>
      </c>
      <c r="J6" s="18">
        <f>SUM(K6:N6)</f>
        <v>21332</v>
      </c>
      <c r="K6" s="19">
        <v>4962</v>
      </c>
      <c r="L6" s="19">
        <v>5731</v>
      </c>
      <c r="M6" s="19">
        <v>5016</v>
      </c>
      <c r="N6" s="19">
        <v>5623</v>
      </c>
      <c r="O6" s="18">
        <f>SUM(P6:S6)</f>
        <v>19177</v>
      </c>
      <c r="P6" s="19">
        <v>2373</v>
      </c>
      <c r="Q6" s="19">
        <v>1363</v>
      </c>
      <c r="R6" s="19">
        <v>4078</v>
      </c>
      <c r="S6" s="19">
        <v>11363</v>
      </c>
      <c r="T6" s="18">
        <f>SUM(U6:X6)</f>
        <v>11202</v>
      </c>
      <c r="U6" s="19">
        <v>1757</v>
      </c>
      <c r="V6" s="19">
        <v>1361</v>
      </c>
      <c r="W6" s="19">
        <v>3157</v>
      </c>
      <c r="X6" s="19">
        <v>4927</v>
      </c>
      <c r="Y6" s="18">
        <f>SUM(Z6:AC6)</f>
        <v>18094</v>
      </c>
      <c r="Z6" s="19">
        <v>2927</v>
      </c>
      <c r="AA6" s="19">
        <v>2482</v>
      </c>
      <c r="AB6" s="19">
        <v>7159</v>
      </c>
      <c r="AC6" s="19">
        <v>5526</v>
      </c>
      <c r="AD6" s="18">
        <f>SUM(AE6:AH6)</f>
        <v>5722</v>
      </c>
      <c r="AE6" s="19">
        <v>5722</v>
      </c>
      <c r="AF6" s="19"/>
      <c r="AG6" s="19"/>
      <c r="AH6" s="19"/>
    </row>
    <row r="7" spans="1:34" s="44" customFormat="1">
      <c r="A7" s="44" t="s">
        <v>85</v>
      </c>
      <c r="B7" s="35">
        <f t="shared" ref="B7:S7" si="0">SUM(B5:B6)</f>
        <v>24648</v>
      </c>
      <c r="C7" s="35">
        <f t="shared" si="0"/>
        <v>28574.999999999996</v>
      </c>
      <c r="D7" s="35">
        <f t="shared" si="0"/>
        <v>26801</v>
      </c>
      <c r="E7" s="35">
        <f t="shared" si="0"/>
        <v>26730</v>
      </c>
      <c r="F7" s="47">
        <f t="shared" si="0"/>
        <v>2763</v>
      </c>
      <c r="G7" s="53">
        <f t="shared" si="0"/>
        <v>12080.69</v>
      </c>
      <c r="H7" s="53">
        <f t="shared" si="0"/>
        <v>4881</v>
      </c>
      <c r="I7" s="47">
        <f t="shared" si="0"/>
        <v>7005</v>
      </c>
      <c r="J7" s="35">
        <f>SUM(K7:N7)</f>
        <v>22849</v>
      </c>
      <c r="K7" s="47">
        <f t="shared" si="0"/>
        <v>5274</v>
      </c>
      <c r="L7" s="47">
        <f t="shared" si="0"/>
        <v>5909</v>
      </c>
      <c r="M7" s="47">
        <f t="shared" si="0"/>
        <v>5421</v>
      </c>
      <c r="N7" s="47">
        <f t="shared" si="0"/>
        <v>6245</v>
      </c>
      <c r="O7" s="35">
        <f>SUM(P7:S7)</f>
        <v>21009</v>
      </c>
      <c r="P7" s="47">
        <f t="shared" si="0"/>
        <v>2373</v>
      </c>
      <c r="Q7" s="47">
        <f t="shared" si="0"/>
        <v>1888</v>
      </c>
      <c r="R7" s="47">
        <f t="shared" si="0"/>
        <v>4676</v>
      </c>
      <c r="S7" s="47">
        <f t="shared" si="0"/>
        <v>12072</v>
      </c>
      <c r="T7" s="35">
        <f>SUM(U7:X7)</f>
        <v>18531</v>
      </c>
      <c r="U7" s="47">
        <f t="shared" ref="U7:X7" si="1">SUM(U5:U6)</f>
        <v>2090</v>
      </c>
      <c r="V7" s="47">
        <f t="shared" si="1"/>
        <v>3845</v>
      </c>
      <c r="W7" s="47">
        <f t="shared" si="1"/>
        <v>4927</v>
      </c>
      <c r="X7" s="47">
        <f t="shared" si="1"/>
        <v>7669</v>
      </c>
      <c r="Y7" s="35">
        <f>SUM(Z7:AC7)</f>
        <v>51017</v>
      </c>
      <c r="Z7" s="47">
        <f t="shared" ref="Z7:AC7" si="2">SUM(Z5:Z6)</f>
        <v>29157</v>
      </c>
      <c r="AA7" s="47">
        <f t="shared" si="2"/>
        <v>3034</v>
      </c>
      <c r="AB7" s="47">
        <f t="shared" si="2"/>
        <v>9996</v>
      </c>
      <c r="AC7" s="47">
        <f t="shared" si="2"/>
        <v>8830</v>
      </c>
      <c r="AD7" s="35">
        <f>SUM(AE7:AH7)</f>
        <v>5928</v>
      </c>
      <c r="AE7" s="47">
        <f t="shared" ref="AE7:AH7" si="3">SUM(AE5:AE6)</f>
        <v>5928</v>
      </c>
      <c r="AF7" s="47">
        <f t="shared" si="3"/>
        <v>0</v>
      </c>
      <c r="AG7" s="47">
        <f t="shared" si="3"/>
        <v>0</v>
      </c>
      <c r="AH7" s="47">
        <f t="shared" si="3"/>
        <v>0</v>
      </c>
    </row>
    <row r="8" spans="1:34">
      <c r="U8" s="45"/>
      <c r="V8" s="45"/>
      <c r="W8" s="45"/>
      <c r="X8" s="45"/>
      <c r="Z8" s="45"/>
      <c r="AA8" s="45"/>
      <c r="AB8" s="45"/>
      <c r="AC8" s="45"/>
      <c r="AE8" s="45"/>
      <c r="AF8" s="45"/>
      <c r="AG8" s="45"/>
      <c r="AH8" s="45"/>
    </row>
    <row r="9" spans="1:34" hidden="1" outlineLevel="1">
      <c r="A9" s="13" t="s">
        <v>100</v>
      </c>
      <c r="B9" s="18">
        <f>Revenues!B8</f>
        <v>130352</v>
      </c>
      <c r="C9" s="18">
        <f>Revenues!C8</f>
        <v>152488</v>
      </c>
      <c r="D9" s="18">
        <f>Revenues!D8</f>
        <v>178786.23500000002</v>
      </c>
      <c r="E9" s="18">
        <f>Revenues!E8</f>
        <v>182003.98734515999</v>
      </c>
      <c r="F9" s="19">
        <f>Revenues!F8</f>
        <v>41397.799452919993</v>
      </c>
      <c r="G9" s="19">
        <f>Revenues!G8</f>
        <v>44383.187892240006</v>
      </c>
      <c r="H9" s="19">
        <f>Revenues!H8</f>
        <v>47323</v>
      </c>
      <c r="I9" s="19">
        <f>Revenues!I8</f>
        <v>48900</v>
      </c>
      <c r="J9" s="18">
        <f>SUM(K9:N9)</f>
        <v>187599.4</v>
      </c>
      <c r="K9" s="19">
        <f>Revenues!K8</f>
        <v>43053.200000000004</v>
      </c>
      <c r="L9" s="19">
        <f>Revenues!L8</f>
        <v>46271.199999999997</v>
      </c>
      <c r="M9" s="19">
        <f>Revenues!M8</f>
        <v>48749</v>
      </c>
      <c r="N9" s="19">
        <v>49526</v>
      </c>
      <c r="O9" s="18">
        <f>SUM(P9:S9)</f>
        <v>187580.54975611999</v>
      </c>
      <c r="P9" s="19">
        <f>Revenues!P8</f>
        <v>44107</v>
      </c>
      <c r="Q9" s="19">
        <f>Revenues!Q8</f>
        <v>48034.649756120001</v>
      </c>
      <c r="R9" s="19">
        <f>Revenues!R8</f>
        <v>49165.4</v>
      </c>
      <c r="S9" s="19">
        <f>Revenues!S8</f>
        <v>46273.5</v>
      </c>
      <c r="T9" s="18">
        <f>SUM(U9:X9)</f>
        <v>168425</v>
      </c>
      <c r="U9" s="19">
        <f>Revenues!U8</f>
        <v>43085</v>
      </c>
      <c r="V9" s="19">
        <f>Revenues!V8</f>
        <v>42980</v>
      </c>
      <c r="W9" s="19">
        <f>Revenues!W8</f>
        <v>42756</v>
      </c>
      <c r="X9" s="19">
        <f>Revenues!X8</f>
        <v>39604</v>
      </c>
      <c r="Y9" s="18">
        <f>SUM(Z9:AC9)</f>
        <v>147036.52766763</v>
      </c>
      <c r="Z9" s="19">
        <f>Revenues!Z8</f>
        <v>35469.724977000005</v>
      </c>
      <c r="AA9" s="19">
        <f>Revenues!AA8</f>
        <v>36412.80269063</v>
      </c>
      <c r="AB9" s="19">
        <f>Revenues!AB8</f>
        <v>36931</v>
      </c>
      <c r="AC9" s="19">
        <f>Revenues!AC8</f>
        <v>38223</v>
      </c>
      <c r="AD9" s="18">
        <f>SUM(AE9:AH9)</f>
        <v>35517</v>
      </c>
      <c r="AE9" s="19">
        <f>Revenues!AE8</f>
        <v>35517</v>
      </c>
      <c r="AF9" s="19">
        <f>Revenues!AF8</f>
        <v>0</v>
      </c>
      <c r="AG9" s="19">
        <f>Revenues!AG8</f>
        <v>0</v>
      </c>
      <c r="AH9" s="19">
        <f>Revenues!AH8</f>
        <v>0</v>
      </c>
    </row>
    <row r="10" spans="1:34" collapsed="1">
      <c r="U10" s="45"/>
      <c r="V10" s="45"/>
      <c r="W10" s="45"/>
      <c r="X10" s="45"/>
      <c r="Z10" s="45"/>
      <c r="AA10" s="45"/>
      <c r="AB10" s="45"/>
      <c r="AC10" s="45"/>
      <c r="AE10" s="45"/>
      <c r="AF10" s="45"/>
      <c r="AG10" s="45"/>
      <c r="AH10" s="45"/>
    </row>
    <row r="11" spans="1:34">
      <c r="A11" s="13" t="s">
        <v>101</v>
      </c>
      <c r="B11" s="23">
        <f>B7/B9</f>
        <v>0.18908800785565238</v>
      </c>
      <c r="C11" s="23">
        <f t="shared" ref="C11:M11" si="4">C7/C9</f>
        <v>0.18739179476417814</v>
      </c>
      <c r="D11" s="23">
        <f t="shared" si="4"/>
        <v>0.14990527654436034</v>
      </c>
      <c r="E11" s="23">
        <f t="shared" si="4"/>
        <v>0.14686491427964218</v>
      </c>
      <c r="F11" s="38">
        <f t="shared" si="4"/>
        <v>6.6742678029112296E-2</v>
      </c>
      <c r="G11" s="38">
        <f t="shared" si="4"/>
        <v>0.27219067790559043</v>
      </c>
      <c r="H11" s="38">
        <f>H7/H9</f>
        <v>0.10314223527671534</v>
      </c>
      <c r="I11" s="38">
        <f>I7/I9</f>
        <v>0.14325153374233129</v>
      </c>
      <c r="J11" s="23">
        <f>J7/J9</f>
        <v>0.12179676480841624</v>
      </c>
      <c r="K11" s="38">
        <f t="shared" si="4"/>
        <v>0.12249960513968763</v>
      </c>
      <c r="L11" s="38">
        <f t="shared" si="4"/>
        <v>0.12770362558135515</v>
      </c>
      <c r="M11" s="38">
        <f t="shared" si="4"/>
        <v>0.11120228107243225</v>
      </c>
      <c r="N11" s="38">
        <f>N7/N9</f>
        <v>0.12609538424262004</v>
      </c>
      <c r="O11" s="23">
        <f>O7/O9</f>
        <v>0.11199988499508362</v>
      </c>
      <c r="P11" s="38">
        <f t="shared" ref="P11:S11" si="5">P7/P9</f>
        <v>5.3800983970798286E-2</v>
      </c>
      <c r="Q11" s="38">
        <f t="shared" si="5"/>
        <v>3.9304960264844098E-2</v>
      </c>
      <c r="R11" s="38">
        <f t="shared" si="5"/>
        <v>9.5107534973782368E-2</v>
      </c>
      <c r="S11" s="38">
        <f t="shared" si="5"/>
        <v>0.26088365911374761</v>
      </c>
      <c r="T11" s="23">
        <f>T7/T9</f>
        <v>0.1100252337835832</v>
      </c>
      <c r="U11" s="38">
        <f t="shared" ref="U11:X11" si="6">U7/U9</f>
        <v>4.8508761750029016E-2</v>
      </c>
      <c r="V11" s="38">
        <f t="shared" si="6"/>
        <v>8.9460214053047923E-2</v>
      </c>
      <c r="W11" s="38">
        <f t="shared" si="6"/>
        <v>0.11523528861446347</v>
      </c>
      <c r="X11" s="38">
        <f t="shared" si="6"/>
        <v>0.19364205635794365</v>
      </c>
      <c r="Y11" s="23">
        <f>Y7/Y9</f>
        <v>0.34696820449488458</v>
      </c>
      <c r="Z11" s="38">
        <f t="shared" ref="Z11:AC11" si="7">Z7/Z9</f>
        <v>0.82202498099172094</v>
      </c>
      <c r="AA11" s="38">
        <f t="shared" si="7"/>
        <v>8.3322342028363847E-2</v>
      </c>
      <c r="AB11" s="38">
        <f t="shared" si="7"/>
        <v>0.2706669193902142</v>
      </c>
      <c r="AC11" s="38">
        <f t="shared" si="7"/>
        <v>0.23101274101980482</v>
      </c>
      <c r="AD11" s="23">
        <f>AD7/AD9</f>
        <v>0.16690598868147646</v>
      </c>
      <c r="AE11" s="38">
        <f t="shared" ref="AE11:AH11" si="8">AE7/AE9</f>
        <v>0.16690598868147646</v>
      </c>
      <c r="AF11" s="38" t="e">
        <f t="shared" si="8"/>
        <v>#DIV/0!</v>
      </c>
      <c r="AG11" s="38" t="e">
        <f t="shared" si="8"/>
        <v>#DIV/0!</v>
      </c>
      <c r="AH11" s="38" t="e">
        <f t="shared" si="8"/>
        <v>#DIV/0!</v>
      </c>
    </row>
    <row r="13" spans="1:34">
      <c r="L13" s="38"/>
      <c r="M13" s="67"/>
    </row>
    <row r="18" spans="6:8">
      <c r="F18" s="19"/>
      <c r="G18" s="19"/>
      <c r="H18" s="19"/>
    </row>
    <row r="19" spans="6:8">
      <c r="F19" s="68"/>
      <c r="G19" s="68"/>
      <c r="H19" s="19"/>
    </row>
    <row r="20" spans="6:8">
      <c r="F20" s="67"/>
      <c r="H20" s="19"/>
    </row>
    <row r="21" spans="6:8">
      <c r="H21" s="19"/>
    </row>
    <row r="22" spans="6:8">
      <c r="F22" s="19"/>
      <c r="G22" s="21"/>
      <c r="H22" s="19"/>
    </row>
    <row r="23" spans="6:8">
      <c r="F23" s="69"/>
      <c r="G23" s="70"/>
      <c r="H23" s="67"/>
    </row>
    <row r="24" spans="6:8">
      <c r="F24" s="6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Index</vt:lpstr>
      <vt:lpstr>Operational Data</vt:lpstr>
      <vt:lpstr>Financial highlights</vt:lpstr>
      <vt:lpstr>Revenues</vt:lpstr>
      <vt:lpstr>Comprehensive Income</vt:lpstr>
      <vt:lpstr>Financial Position</vt:lpstr>
      <vt:lpstr>Cash Flows</vt:lpstr>
      <vt:lpstr>Investments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Shol</dc:creator>
  <cp:lastModifiedBy>Chingiz Turgunbayev</cp:lastModifiedBy>
  <cp:lastPrinted>2015-07-10T13:27:09Z</cp:lastPrinted>
  <dcterms:created xsi:type="dcterms:W3CDTF">2013-01-30T05:33:18Z</dcterms:created>
  <dcterms:modified xsi:type="dcterms:W3CDTF">2017-04-26T04:06:27Z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